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80" windowHeight="8580" activeTab="1"/>
  </bookViews>
  <sheets>
    <sheet name="HOS inpatient" sheetId="1" r:id="rId1"/>
    <sheet name="Multiplier Calculation" sheetId="4" r:id="rId2"/>
    <sheet name="HOS outpatient" sheetId="3" r:id="rId3"/>
    <sheet name="Physician Group" sheetId="5" r:id="rId4"/>
    <sheet name="Other Provider" sheetId="6" r:id="rId5"/>
  </sheets>
  <calcPr calcId="145621"/>
</workbook>
</file>

<file path=xl/calcChain.xml><?xml version="1.0" encoding="utf-8"?>
<calcChain xmlns="http://schemas.openxmlformats.org/spreadsheetml/2006/main">
  <c r="H20" i="6" l="1"/>
  <c r="H19" i="6"/>
  <c r="E33" i="6"/>
  <c r="E32" i="6"/>
  <c r="E31" i="6"/>
  <c r="E30" i="6"/>
  <c r="F33" i="6"/>
  <c r="F32" i="6"/>
  <c r="I13" i="6"/>
  <c r="I12" i="6"/>
  <c r="F31" i="6"/>
  <c r="I9" i="6"/>
  <c r="I8" i="6"/>
  <c r="E42" i="6" l="1"/>
  <c r="E41" i="6"/>
  <c r="H9" i="6"/>
  <c r="H8" i="6"/>
  <c r="G33" i="6"/>
  <c r="G32" i="6"/>
  <c r="G31" i="6"/>
  <c r="G30" i="6"/>
  <c r="F30" i="6"/>
  <c r="I24" i="6"/>
  <c r="I23" i="6"/>
  <c r="I20" i="6"/>
  <c r="E40" i="6" s="1"/>
  <c r="H27" i="5"/>
  <c r="H13" i="6"/>
  <c r="H12" i="6"/>
  <c r="G20" i="6"/>
  <c r="G24" i="6"/>
  <c r="G23" i="6"/>
  <c r="G19" i="6"/>
  <c r="I22" i="5"/>
  <c r="I20" i="5"/>
  <c r="F48" i="5" s="1"/>
  <c r="G57" i="5" s="1"/>
  <c r="I18" i="5"/>
  <c r="I16" i="5"/>
  <c r="E49" i="5" s="1"/>
  <c r="I14" i="5"/>
  <c r="I12" i="5"/>
  <c r="I10" i="5"/>
  <c r="E47" i="5" s="1"/>
  <c r="F46" i="5"/>
  <c r="I8" i="5"/>
  <c r="G49" i="5"/>
  <c r="G48" i="5"/>
  <c r="G47" i="5"/>
  <c r="G46" i="5"/>
  <c r="E58" i="5"/>
  <c r="I37" i="5"/>
  <c r="I35" i="5"/>
  <c r="E57" i="5"/>
  <c r="E48" i="5"/>
  <c r="G27" i="5"/>
  <c r="G38" i="5"/>
  <c r="G36" i="5"/>
  <c r="H28" i="5" s="1"/>
  <c r="G35" i="5"/>
  <c r="G37" i="5"/>
  <c r="G30" i="5"/>
  <c r="G29" i="5"/>
  <c r="G28" i="5"/>
  <c r="H19" i="5"/>
  <c r="H18" i="5"/>
  <c r="H9" i="5"/>
  <c r="H10" i="5"/>
  <c r="H8" i="5"/>
  <c r="G23" i="3"/>
  <c r="H11" i="5"/>
  <c r="H17" i="5"/>
  <c r="I19" i="6" l="1"/>
  <c r="E39" i="6" s="1"/>
  <c r="F47" i="5"/>
  <c r="H29" i="5"/>
  <c r="H30" i="5"/>
  <c r="F49" i="5"/>
  <c r="G58" i="5" s="1"/>
  <c r="E46" i="5"/>
  <c r="H16" i="5"/>
  <c r="G42" i="6" l="1"/>
  <c r="H30" i="6"/>
  <c r="G41" i="6"/>
  <c r="G39" i="6"/>
  <c r="H31" i="6"/>
  <c r="G40" i="6"/>
  <c r="I29" i="5"/>
  <c r="E56" i="5"/>
  <c r="G56" i="5" s="1"/>
  <c r="I27" i="5"/>
  <c r="E55" i="5" s="1"/>
  <c r="H47" i="5"/>
  <c r="H46" i="5"/>
  <c r="F39" i="6" l="1"/>
  <c r="F41" i="6"/>
  <c r="H41" i="6"/>
  <c r="H39" i="6"/>
  <c r="F57" i="5"/>
  <c r="G55" i="5"/>
  <c r="F55" i="5"/>
  <c r="I41" i="6" l="1"/>
  <c r="I39" i="6"/>
  <c r="J39" i="6" l="1"/>
  <c r="K39" i="6" s="1"/>
  <c r="K41" i="6" l="1"/>
  <c r="H57" i="5" l="1"/>
  <c r="E50" i="3"/>
  <c r="G50" i="3" s="1"/>
  <c r="H34" i="3"/>
  <c r="H31" i="3"/>
  <c r="E49" i="3" s="1"/>
  <c r="G49" i="3" l="1"/>
  <c r="H55" i="5"/>
  <c r="I57" i="5"/>
  <c r="E41" i="3"/>
  <c r="E40" i="3"/>
  <c r="E38" i="3"/>
  <c r="E39" i="3"/>
  <c r="F39" i="3" s="1"/>
  <c r="G28" i="3"/>
  <c r="G27" i="3"/>
  <c r="G26" i="3"/>
  <c r="G25" i="3"/>
  <c r="G24" i="3"/>
  <c r="H25" i="3"/>
  <c r="E47" i="3" s="1"/>
  <c r="H28" i="3" l="1"/>
  <c r="E48" i="3"/>
  <c r="G48" i="3" s="1"/>
  <c r="G47" i="3"/>
  <c r="I55" i="5"/>
  <c r="J55" i="5" s="1"/>
  <c r="K57" i="5" s="1"/>
  <c r="F38" i="3"/>
  <c r="F49" i="3" s="1"/>
  <c r="F47" i="3" l="1"/>
  <c r="H49" i="3"/>
  <c r="I49" i="3" s="1"/>
  <c r="H47" i="3"/>
  <c r="I47" i="3" s="1"/>
  <c r="K55" i="5"/>
  <c r="F36" i="4"/>
  <c r="F31" i="4"/>
  <c r="D39" i="4" s="1"/>
  <c r="F22" i="4"/>
  <c r="D25" i="4" s="1"/>
  <c r="J47" i="3" l="1"/>
  <c r="K49" i="3" s="1"/>
  <c r="B25" i="4"/>
  <c r="B39" i="4"/>
  <c r="F20" i="1"/>
  <c r="F21" i="1"/>
  <c r="F22" i="1"/>
  <c r="F23" i="1"/>
  <c r="F24" i="1"/>
  <c r="E24" i="1" s="1"/>
  <c r="F25" i="1"/>
  <c r="F26" i="1"/>
  <c r="F19" i="1"/>
  <c r="K47" i="3" l="1"/>
  <c r="E25" i="1"/>
  <c r="E22" i="1"/>
  <c r="E21" i="1"/>
  <c r="E20" i="1"/>
  <c r="E23" i="1"/>
  <c r="E26" i="1"/>
  <c r="F27" i="1"/>
  <c r="G20" i="1" s="1"/>
  <c r="E19" i="1"/>
  <c r="G19" i="1" l="1"/>
  <c r="I15" i="1"/>
  <c r="I14" i="1"/>
  <c r="I13" i="1"/>
  <c r="I12" i="1"/>
  <c r="I11" i="1"/>
  <c r="I10" i="1"/>
  <c r="I9" i="1"/>
  <c r="I8" i="1"/>
  <c r="E38" i="1" l="1"/>
  <c r="E32" i="1"/>
  <c r="E34" i="1"/>
  <c r="E36" i="1"/>
  <c r="F32" i="1" l="1"/>
  <c r="G38" i="1" s="1"/>
  <c r="G34" i="1" l="1"/>
  <c r="G32" i="1"/>
  <c r="G36" i="1"/>
</calcChain>
</file>

<file path=xl/comments1.xml><?xml version="1.0" encoding="utf-8"?>
<comments xmlns="http://schemas.openxmlformats.org/spreadsheetml/2006/main">
  <authors>
    <author>E. Boukus</author>
  </authors>
  <commentList>
    <comment ref="G18" authorId="0">
      <text>
        <r>
          <rPr>
            <sz val="8"/>
            <color indexed="81"/>
            <rFont val="Tahoma"/>
            <family val="2"/>
          </rPr>
          <t>For inpatient data, product mix and Network Average Product mix values are based on claims + non-claims payments.</t>
        </r>
      </text>
    </comment>
  </commentList>
</comments>
</file>

<file path=xl/comments2.xml><?xml version="1.0" encoding="utf-8"?>
<comments xmlns="http://schemas.openxmlformats.org/spreadsheetml/2006/main">
  <authors>
    <author>E. Boukus</author>
  </authors>
  <commentList>
    <comment ref="G22" authorId="0">
      <text>
        <r>
          <rPr>
            <sz val="8"/>
            <color indexed="81"/>
            <rFont val="Tahoma"/>
            <family val="2"/>
          </rPr>
          <t>Service Mix and Network Average Service Mix values are based on claims payments only.</t>
        </r>
      </text>
    </comment>
    <comment ref="F25" authorId="0">
      <text>
        <r>
          <rPr>
            <sz val="8"/>
            <color indexed="81"/>
            <rFont val="Tahoma"/>
            <family val="2"/>
          </rPr>
          <t>Service Mix values should sum to 1 for each provider within each Hospital Type-Insurance Category-Product Type combination.</t>
        </r>
      </text>
    </comment>
    <comment ref="G33" authorId="0">
      <text>
        <r>
          <rPr>
            <b/>
            <sz val="8"/>
            <color indexed="81"/>
            <rFont val="Tahoma"/>
            <family val="2"/>
          </rPr>
          <t xml:space="preserve">Zero Correction:
</t>
        </r>
        <r>
          <rPr>
            <sz val="8"/>
            <color indexed="81"/>
            <rFont val="Tahoma"/>
            <family val="2"/>
          </rPr>
          <t>If a provider does not offer a particular service line--e.g., Lab--then we zero out the corresponding network average service mix, so as not to give weight to a service category that doesn't exist when computing the Base Service-Weighted Multipler below.</t>
        </r>
      </text>
    </comment>
    <comment ref="E37" authorId="0">
      <text>
        <r>
          <rPr>
            <sz val="8"/>
            <color indexed="81"/>
            <rFont val="Tahoma"/>
            <family val="2"/>
          </rPr>
          <t>Product mix = distribution of claims payments across product types.</t>
        </r>
      </text>
    </comment>
    <comment ref="F37" authorId="0">
      <text>
        <r>
          <rPr>
            <sz val="8"/>
            <color indexed="81"/>
            <rFont val="Tahoma"/>
            <family val="2"/>
          </rPr>
          <t>For HOS outpatient, Physician Group and Other Providers, product mix and network average product mix values are based on claims payments only.</t>
        </r>
      </text>
    </comment>
    <comment ref="E50" authorId="0">
      <text>
        <r>
          <rPr>
            <b/>
            <sz val="8"/>
            <color indexed="81"/>
            <rFont val="Tahoma"/>
            <family val="2"/>
          </rPr>
          <t>Zero Correction:</t>
        </r>
        <r>
          <rPr>
            <sz val="8"/>
            <color indexed="81"/>
            <rFont val="Tahoma"/>
            <family val="2"/>
          </rPr>
          <t xml:space="preserve">
To complete the Zero Correction, we divide the sumproduct by the sum of the Network Average Service Mixes.</t>
        </r>
      </text>
    </comment>
  </commentList>
</comments>
</file>

<file path=xl/comments3.xml><?xml version="1.0" encoding="utf-8"?>
<comments xmlns="http://schemas.openxmlformats.org/spreadsheetml/2006/main">
  <authors>
    <author>E. Boukus</author>
  </authors>
  <commentList>
    <comment ref="H7" authorId="0">
      <text>
        <r>
          <rPr>
            <sz val="8"/>
            <color indexed="81"/>
            <rFont val="Tahoma"/>
            <family val="2"/>
          </rPr>
          <t>This step "rolls up" local practice group-specific multipliers to the level of the parent provider group.</t>
        </r>
      </text>
    </comment>
    <comment ref="B20" authorId="0">
      <text>
        <r>
          <rPr>
            <sz val="8"/>
            <color indexed="81"/>
            <rFont val="Tahoma"/>
            <family val="2"/>
          </rPr>
          <t>Represented by aggregate OrgID 999999 or 999998, based on whether PG is paid on a fee schedule or not on a fee schedule.</t>
        </r>
      </text>
    </comment>
    <comment ref="G26" authorId="0">
      <text>
        <r>
          <rPr>
            <sz val="8"/>
            <color indexed="81"/>
            <rFont val="Tahoma"/>
            <family val="2"/>
          </rPr>
          <t>This step "rolls up" local practice group-specific service mix values to the parent group level.</t>
        </r>
      </text>
    </comment>
    <comment ref="H26" authorId="0">
      <text>
        <r>
          <rPr>
            <sz val="8"/>
            <color indexed="81"/>
            <rFont val="Tahoma"/>
            <family val="2"/>
          </rPr>
          <t>Service Mix and Network Average Service Mix values are based on claims payments only.</t>
        </r>
      </text>
    </comment>
    <comment ref="F29" authorId="0">
      <text>
        <r>
          <rPr>
            <sz val="8"/>
            <color indexed="81"/>
            <rFont val="Tahoma"/>
            <family val="2"/>
          </rPr>
          <t>Service Mix values should sum to 1 for each provider within each Insurance Category-Product Type combination.</t>
        </r>
      </text>
    </comment>
    <comment ref="H45" authorId="0">
      <text>
        <r>
          <rPr>
            <sz val="8"/>
            <color indexed="81"/>
            <rFont val="Tahoma"/>
            <family val="2"/>
          </rPr>
          <t>For HOS outpatient, Physician Group and Other Providers, product mix and network average product mix values are based on claims payments only.</t>
        </r>
      </text>
    </comment>
    <comment ref="E58" authorId="0">
      <text>
        <r>
          <rPr>
            <b/>
            <sz val="8"/>
            <color indexed="81"/>
            <rFont val="Tahoma"/>
            <family val="2"/>
          </rPr>
          <t>Zero Correction:</t>
        </r>
        <r>
          <rPr>
            <sz val="8"/>
            <color indexed="81"/>
            <rFont val="Tahoma"/>
            <family val="2"/>
          </rPr>
          <t xml:space="preserve">
To complete the Zero Correction, we divide the sumproduct by the sum of the Network Average Service Mixes. In this example, there are no zeros requiring correction.</t>
        </r>
      </text>
    </comment>
  </commentList>
</comments>
</file>

<file path=xl/comments4.xml><?xml version="1.0" encoding="utf-8"?>
<comments xmlns="http://schemas.openxmlformats.org/spreadsheetml/2006/main">
  <authors>
    <author>E. Boukus</author>
  </authors>
  <commentList>
    <comment ref="E7" authorId="0">
      <text>
        <r>
          <rPr>
            <sz val="8"/>
            <color indexed="81"/>
            <rFont val="Tahoma"/>
            <family val="2"/>
          </rPr>
          <t>In this example, the payer reported a single service category representing all ASC services.</t>
        </r>
      </text>
    </comment>
    <comment ref="H7" authorId="0">
      <text>
        <r>
          <rPr>
            <sz val="8"/>
            <color indexed="81"/>
            <rFont val="Tahoma"/>
            <family val="2"/>
          </rPr>
          <t>This step "rolls up" local practice group-specific multipliers to the level of the parent provider group.</t>
        </r>
      </text>
    </comment>
    <comment ref="B14" authorId="0">
      <text>
        <r>
          <rPr>
            <sz val="8"/>
            <color indexed="81"/>
            <rFont val="Tahoma"/>
            <family val="2"/>
          </rPr>
          <t>Represented by aggregate OrgID 999100 for Ambulatory Surgical Centers (ASCs)
.</t>
        </r>
      </text>
    </comment>
    <comment ref="G18" authorId="0">
      <text>
        <r>
          <rPr>
            <sz val="8"/>
            <color indexed="81"/>
            <rFont val="Tahoma"/>
            <family val="2"/>
          </rPr>
          <t>This step "rolls up" local practice group-specific service mix values to the parent group level.</t>
        </r>
      </text>
    </comment>
    <comment ref="F19" authorId="0">
      <text>
        <r>
          <rPr>
            <sz val="8"/>
            <color indexed="81"/>
            <rFont val="Tahoma"/>
            <family val="2"/>
          </rPr>
          <t>In this example, all service mixes values equal 1.000 because there is only one service mix category.</t>
        </r>
      </text>
    </comment>
    <comment ref="H29" authorId="0">
      <text>
        <r>
          <rPr>
            <sz val="8"/>
            <color indexed="81"/>
            <rFont val="Tahoma"/>
            <family val="2"/>
          </rPr>
          <t>For HOS outpatient, Physician Group and Other Providers, product mix and network average product mix values are based on claims payments only.</t>
        </r>
      </text>
    </comment>
  </commentList>
</comments>
</file>

<file path=xl/sharedStrings.xml><?xml version="1.0" encoding="utf-8"?>
<sst xmlns="http://schemas.openxmlformats.org/spreadsheetml/2006/main" count="617" uniqueCount="149">
  <si>
    <t>Hospital Inpatient Data</t>
  </si>
  <si>
    <t>Hospital Type</t>
  </si>
  <si>
    <t>Insurance Category</t>
  </si>
  <si>
    <t>Product Type</t>
  </si>
  <si>
    <t>Discharges</t>
  </si>
  <si>
    <t>Case Mix</t>
  </si>
  <si>
    <t>Total Claims Payments</t>
  </si>
  <si>
    <t>Total Non-Claims Payments</t>
  </si>
  <si>
    <t>Hospital 1</t>
  </si>
  <si>
    <t>Acute</t>
  </si>
  <si>
    <t>Commercial</t>
  </si>
  <si>
    <t>HMO</t>
  </si>
  <si>
    <t>PPO</t>
  </si>
  <si>
    <t>Hospital 2</t>
  </si>
  <si>
    <t>Hospital 3</t>
  </si>
  <si>
    <t>Hospital 4</t>
  </si>
  <si>
    <t>How to Calculate Mutlipliers for Relative Price</t>
  </si>
  <si>
    <t>Service Category 1 (ER)</t>
  </si>
  <si>
    <t>Provider A</t>
  </si>
  <si>
    <t>Provider B</t>
  </si>
  <si>
    <t>Network Average</t>
  </si>
  <si>
    <t>Cost</t>
  </si>
  <si>
    <t>Units</t>
  </si>
  <si>
    <t>Multiplier</t>
  </si>
  <si>
    <t>Service Category 2 (Lab)</t>
  </si>
  <si>
    <t>CPT code x</t>
  </si>
  <si>
    <t>CPT code y</t>
  </si>
  <si>
    <t>Product Mix</t>
  </si>
  <si>
    <t>Total Payments (claims + nonclaims)</t>
  </si>
  <si>
    <t>Network Average Product Mix</t>
  </si>
  <si>
    <t>Hospital</t>
  </si>
  <si>
    <t>Blue = CHIA calculation</t>
  </si>
  <si>
    <t>Green = Intermediate step</t>
  </si>
  <si>
    <t>Network Average Hospital Product-Adjusted Base Rate</t>
  </si>
  <si>
    <t>Hospital Product-Adjusted Base Rate</t>
  </si>
  <si>
    <t>Hospital Inpatient Relative Price</t>
  </si>
  <si>
    <t>Product-Specific Adjusted Base Rate 
=(Claims + Non-Claims) / (Case Mix*Discharges)</t>
  </si>
  <si>
    <t>Relative Price Calculation</t>
  </si>
  <si>
    <t>When the service category includes more than one CPT code, then the multiplier is derived as the Service Category 2 (Lab) example.</t>
  </si>
  <si>
    <t>Hospital Outpatient Data</t>
  </si>
  <si>
    <t xml:space="preserve">Note: Service Categories are defined by each payer and should reflect or closely approximate the categories for which payers separately negotiate rates. </t>
  </si>
  <si>
    <t>Row</t>
  </si>
  <si>
    <t>Content</t>
  </si>
  <si>
    <t>Service 1</t>
  </si>
  <si>
    <t>Service 2</t>
  </si>
  <si>
    <t>Service 3</t>
  </si>
  <si>
    <t>Service 4</t>
  </si>
  <si>
    <t>Actual payments made to provider for a given insurance category and product type</t>
  </si>
  <si>
    <t xml:space="preserve">Network average payment rate </t>
  </si>
  <si>
    <t>Provider-Specific Service Multiplier (Row 1/Row 2)</t>
  </si>
  <si>
    <t xml:space="preserve">Provider-specific service multipliers are the negotiated service-specific mark-up from the standard fee schedule, reported for each provider, by insurance category and product type. </t>
  </si>
  <si>
    <t>The service multipliers must be defined for each service category reported in record type SL. Payers must provide negotiated multipliers wherever feasible.</t>
  </si>
  <si>
    <t>Example 1. Non-Fee for Service</t>
  </si>
  <si>
    <r>
      <t xml:space="preserve">If the provider is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paid on a fee-for-service (e.g. percent of charge) basis, the multiplier may be calculated as the ratio of actual paid claims for a given service line to the network average payment for that service line:</t>
    </r>
  </si>
  <si>
    <t xml:space="preserve">Alternatively, service multipliers may be computed based on unit costs for the underlying Current Procedural Terminology (CPT) codes. </t>
  </si>
  <si>
    <t>Example 2. Fee-for-service</t>
  </si>
  <si>
    <t>When the service category includes only one CPT code, then the multiplier is derived as the Service Category 1 (ER) example.</t>
  </si>
  <si>
    <t>Service Category</t>
  </si>
  <si>
    <t>Hospital-Specific Multiplier</t>
  </si>
  <si>
    <t>Total Hospital Claims Payments</t>
  </si>
  <si>
    <t>Total Hospital Non-Claims Payments</t>
  </si>
  <si>
    <t>Emergency Room</t>
  </si>
  <si>
    <t>Lab</t>
  </si>
  <si>
    <t>Physician Services</t>
  </si>
  <si>
    <t>Hospital-Specific Service Mix</t>
  </si>
  <si>
    <t>Network Average Service Mix</t>
  </si>
  <si>
    <t xml:space="preserve">Base Service Weighted Multiplier </t>
  </si>
  <si>
    <t>Base Service and Product Adjusted Multiplier</t>
  </si>
  <si>
    <t>Non-Claims Multiplier (for each product type)</t>
  </si>
  <si>
    <t>Product Adjusted Non-Claims Multiplier</t>
  </si>
  <si>
    <t>Adjusted Rate</t>
  </si>
  <si>
    <t>Sum of Network Average Service Mix, by provider (with zero correction)</t>
  </si>
  <si>
    <t>A1</t>
  </si>
  <si>
    <t>A</t>
  </si>
  <si>
    <t>B</t>
  </si>
  <si>
    <t>C</t>
  </si>
  <si>
    <t>D</t>
  </si>
  <si>
    <t>Sum of (A1 series*B series)/C</t>
  </si>
  <si>
    <t>A2</t>
  </si>
  <si>
    <t>A3</t>
  </si>
  <si>
    <t>E1</t>
  </si>
  <si>
    <t>E2</t>
  </si>
  <si>
    <t>E3</t>
  </si>
  <si>
    <t>E4</t>
  </si>
  <si>
    <t>(A3/A2)*E1</t>
  </si>
  <si>
    <t>Sum of (E1 series*D series)</t>
  </si>
  <si>
    <t>Sum of (E3 series*D series)</t>
  </si>
  <si>
    <t>E5</t>
  </si>
  <si>
    <t>E6</t>
  </si>
  <si>
    <t>Average of E5</t>
  </si>
  <si>
    <t>Hospital Outpatient Relative Price</t>
  </si>
  <si>
    <t>E5/E6</t>
  </si>
  <si>
    <t>(E2+E4)</t>
  </si>
  <si>
    <t>= Sum of (A series * B series)</t>
  </si>
  <si>
    <t>= Average of B series</t>
  </si>
  <si>
    <t>= B/C</t>
  </si>
  <si>
    <t>Physician Group Data</t>
  </si>
  <si>
    <t>Provider Group OrgID (Parent)</t>
  </si>
  <si>
    <t>Local Practice Group OrgID (Parent)</t>
  </si>
  <si>
    <t>Pharmacy</t>
  </si>
  <si>
    <t>Parent 1</t>
  </si>
  <si>
    <t>Parent 2</t>
  </si>
  <si>
    <t>Local A</t>
  </si>
  <si>
    <t>Local B</t>
  </si>
  <si>
    <t>Local C</t>
  </si>
  <si>
    <t>All Other Below-Threshold PGs</t>
  </si>
  <si>
    <t>Local Practice Group-Specific Service Mix</t>
  </si>
  <si>
    <t>Provider Group Service Mix (Parent Level)</t>
  </si>
  <si>
    <t>Provider Group Multipliers (Parent Level)</t>
  </si>
  <si>
    <t>Local Practice Group-Specific Multiplier</t>
  </si>
  <si>
    <t>Total Claims Payments (Local Level)</t>
  </si>
  <si>
    <t>Total Claims Payments (from A2)</t>
  </si>
  <si>
    <t>Sum of Network Average Service Mix, by provider (for zero correction)</t>
  </si>
  <si>
    <t>Total Non-Claims (from A3)</t>
  </si>
  <si>
    <t>Physician Group Relative Price</t>
  </si>
  <si>
    <t>Other Provider Data</t>
  </si>
  <si>
    <t>Base Service- and Product-Adjusted Multiplier</t>
  </si>
  <si>
    <t xml:space="preserve">Base Service-Weighted Multiplier </t>
  </si>
  <si>
    <t>Product-Adjusted Non-Claims Multiplier</t>
  </si>
  <si>
    <t>Network Average Adjusted Rate</t>
  </si>
  <si>
    <r>
      <t xml:space="preserve">Note: </t>
    </r>
    <r>
      <rPr>
        <u/>
        <sz val="11"/>
        <rFont val="Calibri"/>
        <family val="2"/>
        <scheme val="minor"/>
      </rPr>
      <t>Network averages</t>
    </r>
    <r>
      <rPr>
        <sz val="11"/>
        <rFont val="Calibri"/>
        <family val="2"/>
        <scheme val="minor"/>
      </rPr>
      <t xml:space="preserve"> are calculated for each Provider Type-Insurance Category combination. This example is for Acute Hospital (inpatient)-Commercial.</t>
    </r>
  </si>
  <si>
    <r>
      <t xml:space="preserve">Note: </t>
    </r>
    <r>
      <rPr>
        <u/>
        <sz val="11"/>
        <rFont val="Calibri"/>
        <family val="2"/>
        <scheme val="minor"/>
      </rPr>
      <t>Network averages</t>
    </r>
    <r>
      <rPr>
        <sz val="11"/>
        <rFont val="Calibri"/>
        <family val="2"/>
        <scheme val="minor"/>
      </rPr>
      <t xml:space="preserve"> are calculated for each Provider Type-Insurance Category combination. This example is for Acute Hospital (outpatient)-Commercial.</t>
    </r>
  </si>
  <si>
    <r>
      <t xml:space="preserve">Note: </t>
    </r>
    <r>
      <rPr>
        <u/>
        <sz val="11"/>
        <rFont val="Calibri"/>
        <family val="2"/>
        <scheme val="minor"/>
      </rPr>
      <t>Network averages</t>
    </r>
    <r>
      <rPr>
        <sz val="11"/>
        <rFont val="Calibri"/>
        <family val="2"/>
        <scheme val="minor"/>
      </rPr>
      <t xml:space="preserve"> are calculated for each Provider Type-Insurance Category combination. This example is for Physician Groups-Commercial.</t>
    </r>
  </si>
  <si>
    <t>All Other Below-Threshold ASCs</t>
  </si>
  <si>
    <t>ALL ASC</t>
  </si>
  <si>
    <r>
      <t xml:space="preserve">Note: </t>
    </r>
    <r>
      <rPr>
        <u/>
        <sz val="11"/>
        <rFont val="Calibri"/>
        <family val="2"/>
        <scheme val="minor"/>
      </rPr>
      <t>Network averages</t>
    </r>
    <r>
      <rPr>
        <sz val="11"/>
        <rFont val="Calibri"/>
        <family val="2"/>
        <scheme val="minor"/>
      </rPr>
      <t xml:space="preserve"> are calculated for each Provider Type-Insurance Category combination. This example is for Ambulatory Surgical Centers (ASCs)-Commercial.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</si>
  <si>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PGM</t>
    </r>
    <r>
      <rPr>
        <b/>
        <sz val="11"/>
        <color theme="1"/>
        <rFont val="Calibri"/>
        <family val="2"/>
        <scheme val="minor"/>
      </rPr>
      <t xml:space="preserve"> records of the OP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</si>
  <si>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PGM</t>
    </r>
    <r>
      <rPr>
        <b/>
        <sz val="11"/>
        <color theme="1"/>
        <rFont val="Calibri"/>
        <family val="2"/>
        <scheme val="minor"/>
      </rPr>
      <t xml:space="preserve"> records of the PG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</si>
  <si>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PGS</t>
    </r>
    <r>
      <rPr>
        <b/>
        <sz val="11"/>
        <color theme="1"/>
        <rFont val="Calibri"/>
        <family val="2"/>
        <scheme val="minor"/>
      </rPr>
      <t xml:space="preserve"> records of the PG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</si>
  <si>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PGP</t>
    </r>
    <r>
      <rPr>
        <b/>
        <sz val="11"/>
        <color theme="1"/>
        <rFont val="Calibri"/>
        <family val="2"/>
        <scheme val="minor"/>
      </rPr>
      <t xml:space="preserve"> records of the PG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</si>
  <si>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PGS</t>
    </r>
    <r>
      <rPr>
        <b/>
        <sz val="11"/>
        <color theme="1"/>
        <rFont val="Calibri"/>
        <family val="2"/>
        <scheme val="minor"/>
      </rPr>
      <t xml:space="preserve"> records of the OP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</si>
  <si>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PGP</t>
    </r>
    <r>
      <rPr>
        <b/>
        <sz val="11"/>
        <color theme="1"/>
        <rFont val="Calibri"/>
        <family val="2"/>
        <scheme val="minor"/>
      </rPr>
      <t xml:space="preserve"> records of the OP file</t>
    </r>
  </si>
  <si>
    <t>Other Provider Relative Price</t>
  </si>
  <si>
    <t>All Locals</t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</si>
  <si>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IPR</t>
    </r>
    <r>
      <rPr>
        <b/>
        <sz val="11"/>
        <color theme="1"/>
        <rFont val="Calibri"/>
        <family val="2"/>
        <scheme val="minor"/>
      </rPr>
      <t xml:space="preserve"> records in HOS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</si>
  <si>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IPP</t>
    </r>
    <r>
      <rPr>
        <b/>
        <sz val="11"/>
        <color theme="1"/>
        <rFont val="Calibri"/>
        <family val="2"/>
        <scheme val="minor"/>
      </rPr>
      <t xml:space="preserve"> records in HOS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</si>
  <si>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HOM</t>
    </r>
    <r>
      <rPr>
        <b/>
        <sz val="11"/>
        <color theme="1"/>
        <rFont val="Calibri"/>
        <family val="2"/>
        <scheme val="minor"/>
      </rPr>
      <t xml:space="preserve"> records in HOS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</si>
  <si>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HOS</t>
    </r>
    <r>
      <rPr>
        <b/>
        <sz val="11"/>
        <color theme="1"/>
        <rFont val="Calibri"/>
        <family val="2"/>
        <scheme val="minor"/>
      </rPr>
      <t xml:space="preserve"> records in HOS file</t>
    </r>
  </si>
  <si>
    <r>
      <t xml:space="preserve">These variables represent fields included in </t>
    </r>
    <r>
      <rPr>
        <b/>
        <u/>
        <sz val="11"/>
        <color theme="1"/>
        <rFont val="Calibri"/>
        <family val="2"/>
        <scheme val="minor"/>
      </rPr>
      <t>HOP</t>
    </r>
    <r>
      <rPr>
        <b/>
        <sz val="11"/>
        <color theme="1"/>
        <rFont val="Calibri"/>
        <family val="2"/>
        <scheme val="minor"/>
      </rPr>
      <t xml:space="preserve"> records in HOS file</t>
    </r>
  </si>
  <si>
    <t>Total Claims Payments (Product Level)</t>
  </si>
  <si>
    <t>Total Non-Claims Payments (Product Level)</t>
  </si>
  <si>
    <t>=(100/1)/183.333333</t>
  </si>
  <si>
    <t>=(1000/5)/183.333333</t>
  </si>
  <si>
    <t>=(100+1000)/(1+6)</t>
  </si>
  <si>
    <t>=(250+300)/(3*73.08+3*83.33)</t>
  </si>
  <si>
    <t>=(700+700)/(10*73.08+9*83.33)</t>
  </si>
  <si>
    <t>=(250+700)/(3+10)</t>
  </si>
  <si>
    <t>=(300+700)/(3+9)</t>
  </si>
  <si>
    <t>Total network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</si>
</sst>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0.000"/>
    <numFmt numFmtId="167" formatCode="#,##0.000"/>
    <numFmt numFmtId="168" formatCode="_(* #,##0.000_);_(* \(#,##0.000\);_(* &quot;-&quot;??_);_(@_)"/>
    <numFmt numFmtId="169" formatCode="#,##0.000_);\(#,##0.0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quotePrefix="1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 vertical="center" wrapText="1"/>
    </xf>
    <xf numFmtId="0" fontId="11" fillId="0" borderId="0" xfId="0" applyFont="1"/>
    <xf numFmtId="166" fontId="0" fillId="0" borderId="0" xfId="0" applyNumberFormat="1"/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 shrinkToFi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2" fontId="15" fillId="0" borderId="0" xfId="0" applyNumberFormat="1" applyFont="1"/>
    <xf numFmtId="0" fontId="17" fillId="0" borderId="0" xfId="0" applyFont="1" applyAlignment="1">
      <alignment wrapText="1"/>
    </xf>
    <xf numFmtId="0" fontId="17" fillId="0" borderId="0" xfId="0" quotePrefix="1" applyFont="1" applyAlignment="1">
      <alignment wrapText="1"/>
    </xf>
    <xf numFmtId="165" fontId="4" fillId="0" borderId="0" xfId="0" applyNumberFormat="1" applyFont="1"/>
    <xf numFmtId="0" fontId="18" fillId="0" borderId="0" xfId="0" applyFont="1"/>
    <xf numFmtId="0" fontId="12" fillId="0" borderId="0" xfId="0" applyFont="1" applyAlignment="1">
      <alignment wrapText="1" shrinkToFit="1"/>
    </xf>
    <xf numFmtId="164" fontId="11" fillId="0" borderId="0" xfId="0" applyNumberFormat="1" applyFont="1"/>
    <xf numFmtId="0" fontId="14" fillId="0" borderId="0" xfId="0" applyFont="1"/>
    <xf numFmtId="2" fontId="4" fillId="0" borderId="0" xfId="0" applyNumberFormat="1" applyFont="1" applyFill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10" fillId="0" borderId="0" xfId="0" applyFont="1"/>
    <xf numFmtId="0" fontId="20" fillId="3" borderId="0" xfId="0" applyFont="1" applyFill="1"/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6" fontId="22" fillId="0" borderId="4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wrapText="1" shrinkToFit="1"/>
    </xf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7" fillId="0" borderId="0" xfId="1" applyNumberFormat="1" applyFont="1" applyAlignment="1">
      <alignment horizontal="right"/>
    </xf>
    <xf numFmtId="165" fontId="7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right"/>
    </xf>
    <xf numFmtId="166" fontId="7" fillId="0" borderId="0" xfId="0" applyNumberFormat="1" applyFont="1"/>
    <xf numFmtId="166" fontId="4" fillId="0" borderId="0" xfId="0" applyNumberFormat="1" applyFont="1" applyFill="1" applyAlignment="1">
      <alignment horizontal="right" vertical="center" wrapText="1"/>
    </xf>
    <xf numFmtId="166" fontId="15" fillId="0" borderId="0" xfId="0" applyNumberFormat="1" applyFont="1"/>
    <xf numFmtId="166" fontId="4" fillId="0" borderId="0" xfId="0" applyNumberFormat="1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166" fontId="8" fillId="0" borderId="0" xfId="0" applyNumberFormat="1" applyFont="1"/>
    <xf numFmtId="2" fontId="11" fillId="0" borderId="0" xfId="0" applyNumberFormat="1" applyFont="1"/>
    <xf numFmtId="167" fontId="4" fillId="0" borderId="0" xfId="0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4" fillId="0" borderId="0" xfId="0" quotePrefix="1" applyFont="1" applyAlignment="1">
      <alignment horizontal="center" vertical="center" wrapText="1"/>
    </xf>
    <xf numFmtId="0" fontId="17" fillId="4" borderId="0" xfId="0" applyFont="1" applyFill="1" applyAlignment="1">
      <alignment wrapText="1"/>
    </xf>
    <xf numFmtId="0" fontId="24" fillId="4" borderId="0" xfId="0" quotePrefix="1" applyFont="1" applyFill="1" applyAlignment="1">
      <alignment horizontal="center" vertical="center" wrapText="1"/>
    </xf>
    <xf numFmtId="2" fontId="24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17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166" fontId="24" fillId="4" borderId="0" xfId="0" applyNumberFormat="1" applyFont="1" applyFill="1"/>
    <xf numFmtId="166" fontId="4" fillId="4" borderId="0" xfId="0" applyNumberFormat="1" applyFont="1" applyFill="1"/>
    <xf numFmtId="168" fontId="25" fillId="0" borderId="0" xfId="1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9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65" fontId="15" fillId="0" borderId="0" xfId="0" applyNumberFormat="1" applyFont="1"/>
    <xf numFmtId="169" fontId="7" fillId="0" borderId="0" xfId="1" applyNumberFormat="1" applyFont="1" applyAlignment="1"/>
    <xf numFmtId="166" fontId="18" fillId="0" borderId="0" xfId="0" applyNumberFormat="1" applyFont="1"/>
    <xf numFmtId="169" fontId="0" fillId="0" borderId="0" xfId="0" applyNumberFormat="1"/>
    <xf numFmtId="7" fontId="15" fillId="0" borderId="0" xfId="0" applyNumberFormat="1" applyFont="1"/>
    <xf numFmtId="166" fontId="11" fillId="0" borderId="0" xfId="0" applyNumberFormat="1" applyFont="1"/>
    <xf numFmtId="165" fontId="11" fillId="0" borderId="0" xfId="0" applyNumberFormat="1" applyFont="1"/>
    <xf numFmtId="167" fontId="4" fillId="0" borderId="0" xfId="0" applyNumberFormat="1" applyFont="1" applyFill="1" applyAlignment="1">
      <alignment horizontal="right" vertical="center" wrapText="1"/>
    </xf>
    <xf numFmtId="165" fontId="26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workbookViewId="0">
      <selection activeCell="A6" sqref="A6"/>
    </sheetView>
  </sheetViews>
  <sheetFormatPr defaultRowHeight="15" x14ac:dyDescent="0.25"/>
  <cols>
    <col min="1" max="1" width="14.7109375" style="2" customWidth="1"/>
    <col min="2" max="2" width="10.7109375" style="2" customWidth="1"/>
    <col min="3" max="3" width="12" style="2" customWidth="1"/>
    <col min="4" max="4" width="14.7109375" style="2" customWidth="1"/>
    <col min="5" max="5" width="13.42578125" style="2" customWidth="1"/>
    <col min="6" max="6" width="17.140625" style="2" customWidth="1"/>
    <col min="7" max="7" width="12.85546875" style="2" customWidth="1"/>
    <col min="8" max="8" width="12.7109375" style="2" customWidth="1"/>
    <col min="9" max="9" width="22.5703125" style="2" customWidth="1"/>
    <col min="10" max="10" width="20.140625" style="2" customWidth="1"/>
    <col min="11" max="11" width="22" style="2" customWidth="1"/>
    <col min="12" max="12" width="10" style="2" bestFit="1" customWidth="1"/>
    <col min="13" max="16384" width="9.140625" style="2"/>
  </cols>
  <sheetData>
    <row r="1" spans="1:11" ht="21" x14ac:dyDescent="0.35">
      <c r="A1" s="1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11" ht="18" customHeight="1" x14ac:dyDescent="0.25">
      <c r="A2" s="20" t="s">
        <v>31</v>
      </c>
      <c r="B2" s="3"/>
      <c r="C2" s="3"/>
      <c r="D2" s="3"/>
      <c r="E2" s="3"/>
      <c r="F2" s="3"/>
      <c r="G2" s="3"/>
      <c r="H2" s="3"/>
      <c r="I2" s="3"/>
    </row>
    <row r="3" spans="1:11" ht="18" customHeight="1" x14ac:dyDescent="0.25">
      <c r="A3" s="23" t="s">
        <v>32</v>
      </c>
      <c r="B3" s="3"/>
      <c r="C3" s="3"/>
      <c r="D3" s="3"/>
      <c r="E3" s="3"/>
      <c r="F3" s="3"/>
      <c r="G3" s="3"/>
      <c r="H3" s="3"/>
      <c r="I3" s="3"/>
    </row>
    <row r="4" spans="1:11" ht="18" customHeight="1" x14ac:dyDescent="0.25">
      <c r="A4" s="30" t="s">
        <v>120</v>
      </c>
      <c r="B4" s="3"/>
      <c r="C4" s="3"/>
      <c r="D4" s="3"/>
      <c r="E4" s="3"/>
      <c r="F4" s="3"/>
      <c r="G4" s="3"/>
      <c r="H4" s="3"/>
      <c r="I4" s="3"/>
    </row>
    <row r="5" spans="1:11" ht="30.75" customHeight="1" x14ac:dyDescent="0.25">
      <c r="A5" s="23"/>
      <c r="B5" s="3"/>
      <c r="C5" s="3"/>
      <c r="D5" s="3"/>
      <c r="E5" s="3"/>
      <c r="F5" s="3"/>
      <c r="G5" s="3"/>
      <c r="H5" s="3"/>
      <c r="I5" s="3"/>
    </row>
    <row r="6" spans="1:11" ht="17.25" customHeight="1" x14ac:dyDescent="0.25">
      <c r="A6" s="28" t="s">
        <v>134</v>
      </c>
      <c r="B6" s="28"/>
      <c r="C6" s="28"/>
      <c r="D6" s="28"/>
      <c r="E6" s="28"/>
      <c r="F6" s="28"/>
      <c r="G6" s="28"/>
      <c r="H6" s="28"/>
      <c r="I6" s="59" t="s">
        <v>73</v>
      </c>
    </row>
    <row r="7" spans="1:11" ht="60.75" customHeight="1" x14ac:dyDescent="0.25">
      <c r="A7" s="11" t="s">
        <v>30</v>
      </c>
      <c r="B7" s="11" t="s">
        <v>1</v>
      </c>
      <c r="C7" s="11" t="s">
        <v>2</v>
      </c>
      <c r="D7" s="11" t="s">
        <v>3</v>
      </c>
      <c r="E7" s="11" t="s">
        <v>4</v>
      </c>
      <c r="F7" s="12" t="s">
        <v>6</v>
      </c>
      <c r="G7" s="11" t="s">
        <v>7</v>
      </c>
      <c r="H7" s="11" t="s">
        <v>5</v>
      </c>
      <c r="I7" s="18" t="s">
        <v>36</v>
      </c>
    </row>
    <row r="8" spans="1:11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>
        <v>251</v>
      </c>
      <c r="F8" s="15">
        <v>460661</v>
      </c>
      <c r="G8" s="15">
        <v>105491</v>
      </c>
      <c r="H8" s="16">
        <v>1.5</v>
      </c>
      <c r="I8" s="19">
        <f t="shared" ref="I8:I15" si="0">SUM(F8:G8)/(E8*H8)</f>
        <v>1503.7237715803453</v>
      </c>
    </row>
    <row r="9" spans="1:11" x14ac:dyDescent="0.25">
      <c r="A9" s="14"/>
      <c r="B9" s="14" t="s">
        <v>9</v>
      </c>
      <c r="C9" s="14" t="s">
        <v>10</v>
      </c>
      <c r="D9" s="14" t="s">
        <v>12</v>
      </c>
      <c r="E9" s="14">
        <v>237</v>
      </c>
      <c r="F9" s="15">
        <v>582240</v>
      </c>
      <c r="G9" s="15">
        <v>81406</v>
      </c>
      <c r="H9" s="16">
        <v>1.6</v>
      </c>
      <c r="I9" s="19">
        <f t="shared" si="0"/>
        <v>1750.1213080168775</v>
      </c>
    </row>
    <row r="10" spans="1:11" x14ac:dyDescent="0.25">
      <c r="A10" s="14" t="s">
        <v>13</v>
      </c>
      <c r="B10" s="14" t="s">
        <v>9</v>
      </c>
      <c r="C10" s="14" t="s">
        <v>10</v>
      </c>
      <c r="D10" s="14" t="s">
        <v>11</v>
      </c>
      <c r="E10" s="14">
        <v>73</v>
      </c>
      <c r="F10" s="15">
        <v>453685</v>
      </c>
      <c r="G10" s="15">
        <v>90602</v>
      </c>
      <c r="H10" s="16">
        <v>0.7</v>
      </c>
      <c r="I10" s="19">
        <f t="shared" si="0"/>
        <v>10651.409001956948</v>
      </c>
    </row>
    <row r="11" spans="1:11" x14ac:dyDescent="0.25">
      <c r="A11" s="14"/>
      <c r="B11" s="14" t="s">
        <v>9</v>
      </c>
      <c r="C11" s="14" t="s">
        <v>10</v>
      </c>
      <c r="D11" s="14" t="s">
        <v>12</v>
      </c>
      <c r="E11" s="14">
        <v>295</v>
      </c>
      <c r="F11" s="15">
        <v>56882</v>
      </c>
      <c r="G11" s="15">
        <v>111764</v>
      </c>
      <c r="H11" s="16">
        <v>1.8</v>
      </c>
      <c r="I11" s="19">
        <f t="shared" si="0"/>
        <v>317.60075329566854</v>
      </c>
    </row>
    <row r="12" spans="1:11" x14ac:dyDescent="0.25">
      <c r="A12" s="14" t="s">
        <v>14</v>
      </c>
      <c r="B12" s="14" t="s">
        <v>9</v>
      </c>
      <c r="C12" s="14" t="s">
        <v>10</v>
      </c>
      <c r="D12" s="14" t="s">
        <v>11</v>
      </c>
      <c r="E12" s="14">
        <v>49</v>
      </c>
      <c r="F12" s="15">
        <v>955453</v>
      </c>
      <c r="G12" s="15">
        <v>76962</v>
      </c>
      <c r="H12" s="16">
        <v>0.7</v>
      </c>
      <c r="I12" s="19">
        <f t="shared" si="0"/>
        <v>30099.562682215746</v>
      </c>
    </row>
    <row r="13" spans="1:11" x14ac:dyDescent="0.25">
      <c r="A13" s="14"/>
      <c r="B13" s="14" t="s">
        <v>9</v>
      </c>
      <c r="C13" s="14" t="s">
        <v>10</v>
      </c>
      <c r="D13" s="14" t="s">
        <v>12</v>
      </c>
      <c r="E13" s="14">
        <v>228</v>
      </c>
      <c r="F13" s="15">
        <v>61774</v>
      </c>
      <c r="G13" s="15">
        <v>125589</v>
      </c>
      <c r="H13" s="16">
        <v>0.7</v>
      </c>
      <c r="I13" s="19">
        <f t="shared" si="0"/>
        <v>1173.953634085213</v>
      </c>
    </row>
    <row r="14" spans="1:11" x14ac:dyDescent="0.25">
      <c r="A14" s="14" t="s">
        <v>15</v>
      </c>
      <c r="B14" s="14" t="s">
        <v>9</v>
      </c>
      <c r="C14" s="14" t="s">
        <v>10</v>
      </c>
      <c r="D14" s="14" t="s">
        <v>11</v>
      </c>
      <c r="E14" s="14">
        <v>242</v>
      </c>
      <c r="F14" s="15">
        <v>838973</v>
      </c>
      <c r="G14" s="15">
        <v>128995</v>
      </c>
      <c r="H14" s="16">
        <v>1.8</v>
      </c>
      <c r="I14" s="19">
        <f t="shared" si="0"/>
        <v>2222.1487603305782</v>
      </c>
    </row>
    <row r="15" spans="1:11" x14ac:dyDescent="0.25">
      <c r="A15" s="14"/>
      <c r="B15" s="14" t="s">
        <v>9</v>
      </c>
      <c r="C15" s="14" t="s">
        <v>10</v>
      </c>
      <c r="D15" s="14" t="s">
        <v>12</v>
      </c>
      <c r="E15" s="14">
        <v>78</v>
      </c>
      <c r="F15" s="15">
        <v>965899</v>
      </c>
      <c r="G15" s="15">
        <v>89544</v>
      </c>
      <c r="H15" s="16">
        <v>0.6</v>
      </c>
      <c r="I15" s="19">
        <f t="shared" si="0"/>
        <v>22552.200854700855</v>
      </c>
    </row>
    <row r="17" spans="1:10" x14ac:dyDescent="0.25">
      <c r="A17" s="28" t="s">
        <v>135</v>
      </c>
      <c r="B17" s="29"/>
      <c r="C17" s="29"/>
      <c r="D17" s="29"/>
      <c r="E17" s="29"/>
      <c r="F17" s="29"/>
      <c r="G17" s="58" t="s">
        <v>74</v>
      </c>
      <c r="H17" s="29"/>
      <c r="I17" s="29"/>
    </row>
    <row r="18" spans="1:10" ht="45" x14ac:dyDescent="0.25">
      <c r="A18" s="11" t="s">
        <v>30</v>
      </c>
      <c r="B18" s="11" t="s">
        <v>1</v>
      </c>
      <c r="C18" s="11" t="s">
        <v>2</v>
      </c>
      <c r="D18" s="11" t="s">
        <v>3</v>
      </c>
      <c r="E18" s="11" t="s">
        <v>27</v>
      </c>
      <c r="F18" s="21" t="s">
        <v>28</v>
      </c>
      <c r="G18" s="17" t="s">
        <v>29</v>
      </c>
    </row>
    <row r="19" spans="1:10" x14ac:dyDescent="0.25">
      <c r="A19" s="14" t="s">
        <v>8</v>
      </c>
      <c r="B19" s="14" t="s">
        <v>9</v>
      </c>
      <c r="C19" s="14" t="s">
        <v>10</v>
      </c>
      <c r="D19" s="14" t="s">
        <v>11</v>
      </c>
      <c r="E19" s="16">
        <f>F19/SUM(F19:F20)</f>
        <v>0.46036178299200359</v>
      </c>
      <c r="F19" s="22">
        <f t="shared" ref="F19:F26" si="1">SUM(F8:G8)</f>
        <v>566152</v>
      </c>
      <c r="G19" s="24">
        <f>SUM(F19,F21,F23,F25)/F27</f>
        <v>0.59985923423423426</v>
      </c>
      <c r="I19" s="26"/>
      <c r="J19" s="6"/>
    </row>
    <row r="20" spans="1:10" x14ac:dyDescent="0.25">
      <c r="A20" s="14"/>
      <c r="B20" s="14" t="s">
        <v>9</v>
      </c>
      <c r="C20" s="14" t="s">
        <v>10</v>
      </c>
      <c r="D20" s="14" t="s">
        <v>12</v>
      </c>
      <c r="E20" s="16">
        <f>F20/SUM(F19:F20)</f>
        <v>0.53963821700799641</v>
      </c>
      <c r="F20" s="22">
        <f t="shared" si="1"/>
        <v>663646</v>
      </c>
      <c r="G20" s="25">
        <f>SUM(F20,F22,F24,F26)/F27</f>
        <v>0.40014076576576579</v>
      </c>
      <c r="I20" s="26"/>
    </row>
    <row r="21" spans="1:10" x14ac:dyDescent="0.25">
      <c r="A21" s="14" t="s">
        <v>13</v>
      </c>
      <c r="B21" s="14" t="s">
        <v>9</v>
      </c>
      <c r="C21" s="14" t="s">
        <v>10</v>
      </c>
      <c r="D21" s="14" t="s">
        <v>11</v>
      </c>
      <c r="E21" s="16">
        <f>F21/SUM(F21:F22)</f>
        <v>0.76344761709725883</v>
      </c>
      <c r="F21" s="22">
        <f t="shared" si="1"/>
        <v>544287</v>
      </c>
      <c r="G21" s="14"/>
    </row>
    <row r="22" spans="1:10" x14ac:dyDescent="0.25">
      <c r="A22" s="14"/>
      <c r="B22" s="14" t="s">
        <v>9</v>
      </c>
      <c r="C22" s="14" t="s">
        <v>10</v>
      </c>
      <c r="D22" s="14" t="s">
        <v>12</v>
      </c>
      <c r="E22" s="16">
        <f>F22/SUM(F21:F22)</f>
        <v>0.23655238290274122</v>
      </c>
      <c r="F22" s="22">
        <f t="shared" si="1"/>
        <v>168646</v>
      </c>
      <c r="G22" s="14"/>
    </row>
    <row r="23" spans="1:10" x14ac:dyDescent="0.25">
      <c r="A23" s="14" t="s">
        <v>14</v>
      </c>
      <c r="B23" s="14" t="s">
        <v>9</v>
      </c>
      <c r="C23" s="14" t="s">
        <v>10</v>
      </c>
      <c r="D23" s="14" t="s">
        <v>11</v>
      </c>
      <c r="E23" s="16">
        <f>F23/SUM(F23:F24)</f>
        <v>0.84639581956716714</v>
      </c>
      <c r="F23" s="22">
        <f t="shared" si="1"/>
        <v>1032415</v>
      </c>
      <c r="G23" s="14"/>
    </row>
    <row r="24" spans="1:10" x14ac:dyDescent="0.25">
      <c r="A24" s="14"/>
      <c r="B24" s="14" t="s">
        <v>9</v>
      </c>
      <c r="C24" s="14" t="s">
        <v>10</v>
      </c>
      <c r="D24" s="14" t="s">
        <v>12</v>
      </c>
      <c r="E24" s="16">
        <f>F24/SUM(F23:F24)</f>
        <v>0.15360418043283286</v>
      </c>
      <c r="F24" s="22">
        <f t="shared" si="1"/>
        <v>187363</v>
      </c>
      <c r="G24" s="14"/>
    </row>
    <row r="25" spans="1:10" x14ac:dyDescent="0.25">
      <c r="A25" s="14" t="s">
        <v>15</v>
      </c>
      <c r="B25" s="14" t="s">
        <v>9</v>
      </c>
      <c r="C25" s="14" t="s">
        <v>10</v>
      </c>
      <c r="D25" s="14" t="s">
        <v>11</v>
      </c>
      <c r="E25" s="16">
        <f>F25/SUM(F25:F26)</f>
        <v>0.47838427289364344</v>
      </c>
      <c r="F25" s="22">
        <f t="shared" si="1"/>
        <v>967968</v>
      </c>
      <c r="G25" s="14"/>
    </row>
    <row r="26" spans="1:10" x14ac:dyDescent="0.25">
      <c r="A26" s="14"/>
      <c r="B26" s="14" t="s">
        <v>9</v>
      </c>
      <c r="C26" s="14" t="s">
        <v>10</v>
      </c>
      <c r="D26" s="14" t="s">
        <v>12</v>
      </c>
      <c r="E26" s="16">
        <f>F26/SUM(F25:F26)</f>
        <v>0.52161572710635651</v>
      </c>
      <c r="F26" s="22">
        <f t="shared" si="1"/>
        <v>1055443</v>
      </c>
      <c r="G26" s="14"/>
    </row>
    <row r="27" spans="1:10" ht="26.25" x14ac:dyDescent="0.25">
      <c r="A27" s="14"/>
      <c r="B27" s="14"/>
      <c r="C27" s="14"/>
      <c r="E27" s="85" t="s">
        <v>148</v>
      </c>
      <c r="F27" s="22">
        <f>SUM(F19:F26)</f>
        <v>5185920</v>
      </c>
      <c r="G27" s="14"/>
      <c r="I27" s="14"/>
      <c r="J27" s="14"/>
    </row>
    <row r="28" spans="1:10" x14ac:dyDescent="0.25">
      <c r="A28" s="14"/>
      <c r="B28" s="14"/>
      <c r="C28" s="14"/>
      <c r="E28" s="7"/>
      <c r="F28" s="22"/>
      <c r="G28" s="14"/>
      <c r="I28" s="14"/>
      <c r="J28" s="14"/>
    </row>
    <row r="29" spans="1:10" x14ac:dyDescent="0.25">
      <c r="A29" s="28" t="s">
        <v>37</v>
      </c>
      <c r="B29" s="29"/>
      <c r="C29" s="29"/>
      <c r="D29" s="29"/>
      <c r="E29" s="27" t="s">
        <v>74</v>
      </c>
      <c r="F29" s="27" t="s">
        <v>75</v>
      </c>
      <c r="G29" s="64"/>
    </row>
    <row r="30" spans="1:10" ht="60" customHeight="1" x14ac:dyDescent="0.25">
      <c r="A30" s="11" t="s">
        <v>30</v>
      </c>
      <c r="B30" s="11" t="s">
        <v>1</v>
      </c>
      <c r="C30" s="11" t="s">
        <v>2</v>
      </c>
      <c r="D30" s="11" t="s">
        <v>3</v>
      </c>
      <c r="E30" s="17" t="s">
        <v>34</v>
      </c>
      <c r="F30" s="17" t="s">
        <v>33</v>
      </c>
      <c r="G30" s="61" t="s">
        <v>35</v>
      </c>
    </row>
    <row r="31" spans="1:10" s="41" customFormat="1" ht="33.75" customHeight="1" x14ac:dyDescent="0.25">
      <c r="A31" s="11"/>
      <c r="B31" s="11"/>
      <c r="C31" s="11"/>
      <c r="D31" s="11"/>
      <c r="E31" s="60" t="s">
        <v>93</v>
      </c>
      <c r="F31" s="60" t="s">
        <v>94</v>
      </c>
      <c r="G31" s="62" t="s">
        <v>95</v>
      </c>
    </row>
    <row r="32" spans="1:10" x14ac:dyDescent="0.25">
      <c r="A32" s="14" t="s">
        <v>8</v>
      </c>
      <c r="B32" s="14" t="s">
        <v>9</v>
      </c>
      <c r="C32" s="14" t="s">
        <v>10</v>
      </c>
      <c r="D32" s="14" t="s">
        <v>11</v>
      </c>
      <c r="E32" s="19">
        <f>SUMPRODUCT(I8:I9,$G$19:$G$20)</f>
        <v>1602.3174704928576</v>
      </c>
      <c r="F32" s="19">
        <f>AVERAGE(E32:E39)</f>
        <v>9250.2568068598357</v>
      </c>
      <c r="G32" s="63">
        <f>E32/$F$32</f>
        <v>0.17321870126941835</v>
      </c>
    </row>
    <row r="33" spans="1:7" x14ac:dyDescent="0.25">
      <c r="A33" s="14"/>
      <c r="B33" s="14" t="s">
        <v>9</v>
      </c>
      <c r="C33" s="14" t="s">
        <v>10</v>
      </c>
      <c r="D33" s="14" t="s">
        <v>12</v>
      </c>
      <c r="E33" s="19"/>
      <c r="F33" s="5"/>
      <c r="G33" s="63"/>
    </row>
    <row r="34" spans="1:7" x14ac:dyDescent="0.25">
      <c r="A34" s="14" t="s">
        <v>13</v>
      </c>
      <c r="B34" s="14" t="s">
        <v>9</v>
      </c>
      <c r="C34" s="14" t="s">
        <v>10</v>
      </c>
      <c r="D34" s="14" t="s">
        <v>11</v>
      </c>
      <c r="E34" s="19">
        <f>SUMPRODUCT(I10:I11,$G$19:$G$20)</f>
        <v>6516.4310560610375</v>
      </c>
      <c r="F34" s="5"/>
      <c r="G34" s="63">
        <f>E34/$F$32</f>
        <v>0.70445947524706143</v>
      </c>
    </row>
    <row r="35" spans="1:7" x14ac:dyDescent="0.25">
      <c r="A35" s="14"/>
      <c r="B35" s="14" t="s">
        <v>9</v>
      </c>
      <c r="C35" s="14" t="s">
        <v>10</v>
      </c>
      <c r="D35" s="14" t="s">
        <v>12</v>
      </c>
      <c r="E35" s="19"/>
      <c r="F35" s="5"/>
      <c r="G35" s="63"/>
    </row>
    <row r="36" spans="1:7" x14ac:dyDescent="0.25">
      <c r="A36" s="14" t="s">
        <v>14</v>
      </c>
      <c r="B36" s="14" t="s">
        <v>9</v>
      </c>
      <c r="C36" s="14" t="s">
        <v>10</v>
      </c>
      <c r="D36" s="14" t="s">
        <v>11</v>
      </c>
      <c r="E36" s="19">
        <f>SUMPRODUCT(I12:I13,$G$19:$G$20)</f>
        <v>18525.247327455636</v>
      </c>
      <c r="F36" s="5"/>
      <c r="G36" s="63">
        <f>E36/$F$32</f>
        <v>2.0026738407648987</v>
      </c>
    </row>
    <row r="37" spans="1:7" x14ac:dyDescent="0.25">
      <c r="A37" s="14"/>
      <c r="B37" s="14" t="s">
        <v>9</v>
      </c>
      <c r="C37" s="14" t="s">
        <v>10</v>
      </c>
      <c r="D37" s="14" t="s">
        <v>12</v>
      </c>
      <c r="E37" s="19"/>
      <c r="F37" s="5"/>
      <c r="G37" s="63"/>
    </row>
    <row r="38" spans="1:7" x14ac:dyDescent="0.25">
      <c r="A38" s="14" t="s">
        <v>15</v>
      </c>
      <c r="B38" s="14" t="s">
        <v>9</v>
      </c>
      <c r="C38" s="14" t="s">
        <v>10</v>
      </c>
      <c r="D38" s="14" t="s">
        <v>11</v>
      </c>
      <c r="E38" s="19">
        <f>SUMPRODUCT(I14:I15,$G$19:$G$20)</f>
        <v>10357.031373429811</v>
      </c>
      <c r="F38" s="5"/>
      <c r="G38" s="63">
        <f>E38/$F$32</f>
        <v>1.1196479827186214</v>
      </c>
    </row>
    <row r="39" spans="1:7" x14ac:dyDescent="0.25">
      <c r="A39" s="14"/>
      <c r="B39" s="14" t="s">
        <v>9</v>
      </c>
      <c r="C39" s="14" t="s">
        <v>10</v>
      </c>
      <c r="D39" s="14" t="s">
        <v>12</v>
      </c>
      <c r="E39" s="19"/>
      <c r="F39" s="5"/>
      <c r="G39" s="65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21" workbookViewId="0">
      <selection activeCell="F40" sqref="F40"/>
    </sheetView>
  </sheetViews>
  <sheetFormatPr defaultRowHeight="15" x14ac:dyDescent="0.25"/>
  <cols>
    <col min="2" max="2" width="22.7109375" customWidth="1"/>
    <col min="3" max="6" width="17.7109375" customWidth="1"/>
  </cols>
  <sheetData>
    <row r="1" spans="1:6" s="2" customFormat="1" x14ac:dyDescent="0.25">
      <c r="A1" s="3" t="s">
        <v>16</v>
      </c>
    </row>
    <row r="2" spans="1:6" s="2" customFormat="1" x14ac:dyDescent="0.25"/>
    <row r="3" spans="1:6" x14ac:dyDescent="0.25">
      <c r="A3" t="s">
        <v>50</v>
      </c>
    </row>
    <row r="4" spans="1:6" s="2" customFormat="1" x14ac:dyDescent="0.25">
      <c r="A4" s="2" t="s">
        <v>51</v>
      </c>
    </row>
    <row r="5" spans="1:6" s="2" customFormat="1" x14ac:dyDescent="0.25">
      <c r="A5" s="2" t="s">
        <v>40</v>
      </c>
    </row>
    <row r="6" spans="1:6" s="2" customFormat="1" x14ac:dyDescent="0.25"/>
    <row r="7" spans="1:6" x14ac:dyDescent="0.25">
      <c r="A7" s="4" t="s">
        <v>52</v>
      </c>
    </row>
    <row r="8" spans="1:6" ht="15.75" thickBot="1" x14ac:dyDescent="0.3">
      <c r="A8" t="s">
        <v>53</v>
      </c>
    </row>
    <row r="9" spans="1:6" ht="15.75" thickBot="1" x14ac:dyDescent="0.3">
      <c r="A9" s="32" t="s">
        <v>41</v>
      </c>
      <c r="B9" s="33" t="s">
        <v>42</v>
      </c>
      <c r="C9" s="33" t="s">
        <v>43</v>
      </c>
      <c r="D9" s="33" t="s">
        <v>44</v>
      </c>
      <c r="E9" s="33" t="s">
        <v>45</v>
      </c>
      <c r="F9" s="33" t="s">
        <v>46</v>
      </c>
    </row>
    <row r="10" spans="1:6" ht="75.75" customHeight="1" thickBot="1" x14ac:dyDescent="0.3">
      <c r="A10" s="34">
        <v>1</v>
      </c>
      <c r="B10" s="35" t="s">
        <v>47</v>
      </c>
      <c r="C10" s="36">
        <v>500000</v>
      </c>
      <c r="D10" s="36">
        <v>750000</v>
      </c>
      <c r="E10" s="36">
        <v>300000</v>
      </c>
      <c r="F10" s="36">
        <v>1000000</v>
      </c>
    </row>
    <row r="11" spans="1:6" ht="36" customHeight="1" thickBot="1" x14ac:dyDescent="0.3">
      <c r="A11" s="34">
        <v>2</v>
      </c>
      <c r="B11" s="35" t="s">
        <v>48</v>
      </c>
      <c r="C11" s="36">
        <v>325000</v>
      </c>
      <c r="D11" s="36">
        <v>300000</v>
      </c>
      <c r="E11" s="36">
        <v>200000</v>
      </c>
      <c r="F11" s="36">
        <v>550000</v>
      </c>
    </row>
    <row r="12" spans="1:6" ht="48" customHeight="1" thickBot="1" x14ac:dyDescent="0.3">
      <c r="A12" s="34">
        <v>3</v>
      </c>
      <c r="B12" s="35" t="s">
        <v>49</v>
      </c>
      <c r="C12" s="37">
        <v>1.54</v>
      </c>
      <c r="D12" s="37">
        <v>2.5</v>
      </c>
      <c r="E12" s="37">
        <v>1.5</v>
      </c>
      <c r="F12" s="37">
        <v>1.82</v>
      </c>
    </row>
    <row r="14" spans="1:6" s="2" customFormat="1" x14ac:dyDescent="0.25"/>
    <row r="15" spans="1:6" x14ac:dyDescent="0.25">
      <c r="A15" t="s">
        <v>54</v>
      </c>
    </row>
    <row r="16" spans="1:6" x14ac:dyDescent="0.25">
      <c r="A16" s="3" t="s">
        <v>55</v>
      </c>
    </row>
    <row r="17" spans="1:6" x14ac:dyDescent="0.25">
      <c r="A17" s="2" t="s">
        <v>56</v>
      </c>
      <c r="B17" s="2"/>
      <c r="C17" s="2"/>
      <c r="D17" s="2"/>
      <c r="E17" s="2"/>
      <c r="F17" s="2"/>
    </row>
    <row r="18" spans="1:6" x14ac:dyDescent="0.25">
      <c r="A18" s="2" t="s">
        <v>38</v>
      </c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31" t="s">
        <v>17</v>
      </c>
      <c r="B20" s="28"/>
      <c r="C20" s="28"/>
      <c r="D20" s="28"/>
      <c r="E20" s="28"/>
      <c r="F20" s="28"/>
    </row>
    <row r="21" spans="1:6" x14ac:dyDescent="0.25">
      <c r="A21" s="2"/>
      <c r="B21" s="3" t="s">
        <v>18</v>
      </c>
      <c r="C21" s="3"/>
      <c r="D21" s="3" t="s">
        <v>19</v>
      </c>
      <c r="E21" s="2"/>
      <c r="F21" s="3" t="s">
        <v>20</v>
      </c>
    </row>
    <row r="22" spans="1:6" x14ac:dyDescent="0.25">
      <c r="A22" s="3" t="s">
        <v>21</v>
      </c>
      <c r="B22" s="2">
        <v>100</v>
      </c>
      <c r="C22" s="2"/>
      <c r="D22" s="2">
        <v>1000</v>
      </c>
      <c r="E22" s="2"/>
      <c r="F22" s="2">
        <f>(B22+D22)/(B23+D23)</f>
        <v>183.33333333333334</v>
      </c>
    </row>
    <row r="23" spans="1:6" x14ac:dyDescent="0.25">
      <c r="A23" s="3" t="s">
        <v>22</v>
      </c>
      <c r="B23" s="2">
        <v>1</v>
      </c>
      <c r="C23" s="2"/>
      <c r="D23" s="2">
        <v>5</v>
      </c>
      <c r="E23" s="2"/>
      <c r="F23" s="1" t="s">
        <v>143</v>
      </c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3" t="s">
        <v>23</v>
      </c>
      <c r="B25" s="2">
        <f>(B22/B23)/F22</f>
        <v>0.54545454545454541</v>
      </c>
      <c r="C25" s="2"/>
      <c r="D25" s="2">
        <f>(D22/D23)/F22</f>
        <v>1.0909090909090908</v>
      </c>
      <c r="E25" s="2"/>
      <c r="F25" s="2"/>
    </row>
    <row r="26" spans="1:6" x14ac:dyDescent="0.25">
      <c r="A26" s="2"/>
      <c r="B26" s="1" t="s">
        <v>141</v>
      </c>
      <c r="C26" s="2"/>
      <c r="D26" s="1" t="s">
        <v>142</v>
      </c>
      <c r="E26" s="2"/>
      <c r="F26" s="2"/>
    </row>
    <row r="27" spans="1:6" x14ac:dyDescent="0.25">
      <c r="A27" s="2"/>
      <c r="B27" s="1"/>
      <c r="C27" s="2"/>
      <c r="D27" s="1"/>
      <c r="E27" s="2"/>
      <c r="F27" s="2"/>
    </row>
    <row r="28" spans="1:6" x14ac:dyDescent="0.25">
      <c r="A28" s="31" t="s">
        <v>24</v>
      </c>
      <c r="B28" s="29"/>
      <c r="C28" s="29"/>
      <c r="D28" s="29"/>
      <c r="E28" s="29"/>
      <c r="F28" s="29"/>
    </row>
    <row r="29" spans="1:6" x14ac:dyDescent="0.25">
      <c r="A29" s="3" t="s">
        <v>25</v>
      </c>
      <c r="B29" s="2"/>
      <c r="C29" s="2"/>
      <c r="D29" s="2"/>
      <c r="E29" s="2"/>
      <c r="F29" s="2"/>
    </row>
    <row r="30" spans="1:6" x14ac:dyDescent="0.25">
      <c r="A30" s="2"/>
      <c r="B30" s="3" t="s">
        <v>18</v>
      </c>
      <c r="C30" s="3"/>
      <c r="D30" s="3" t="s">
        <v>19</v>
      </c>
      <c r="E30" s="3"/>
      <c r="F30" s="3" t="s">
        <v>20</v>
      </c>
    </row>
    <row r="31" spans="1:6" x14ac:dyDescent="0.25">
      <c r="A31" s="3" t="s">
        <v>21</v>
      </c>
      <c r="B31" s="2">
        <v>250</v>
      </c>
      <c r="C31" s="2"/>
      <c r="D31" s="2">
        <v>700</v>
      </c>
      <c r="E31" s="2"/>
      <c r="F31" s="2">
        <f>(B31+D31)/(B32+D32)</f>
        <v>73.07692307692308</v>
      </c>
    </row>
    <row r="32" spans="1:6" x14ac:dyDescent="0.25">
      <c r="A32" s="3" t="s">
        <v>22</v>
      </c>
      <c r="B32" s="2">
        <v>3</v>
      </c>
      <c r="C32" s="2"/>
      <c r="D32" s="2">
        <v>10</v>
      </c>
      <c r="E32" s="2"/>
      <c r="F32" s="1" t="s">
        <v>146</v>
      </c>
    </row>
    <row r="33" spans="1:6" x14ac:dyDescent="0.25">
      <c r="A33" s="3"/>
      <c r="B33" s="2"/>
      <c r="C33" s="2"/>
      <c r="D33" s="2"/>
      <c r="E33" s="2"/>
      <c r="F33" s="2"/>
    </row>
    <row r="34" spans="1:6" x14ac:dyDescent="0.25">
      <c r="A34" s="3" t="s">
        <v>26</v>
      </c>
      <c r="B34" s="2"/>
      <c r="C34" s="2"/>
      <c r="D34" s="2"/>
      <c r="E34" s="2"/>
      <c r="F34" s="2"/>
    </row>
    <row r="35" spans="1:6" x14ac:dyDescent="0.25">
      <c r="A35" s="2"/>
      <c r="B35" s="3" t="s">
        <v>18</v>
      </c>
      <c r="C35" s="3"/>
      <c r="D35" s="3" t="s">
        <v>19</v>
      </c>
      <c r="E35" s="3"/>
      <c r="F35" s="3" t="s">
        <v>20</v>
      </c>
    </row>
    <row r="36" spans="1:6" x14ac:dyDescent="0.25">
      <c r="A36" s="3" t="s">
        <v>21</v>
      </c>
      <c r="B36" s="2">
        <v>300</v>
      </c>
      <c r="C36" s="2"/>
      <c r="D36" s="2">
        <v>700</v>
      </c>
      <c r="E36" s="2"/>
      <c r="F36" s="2">
        <f>(B36+D36)/(B37+D37)</f>
        <v>83.333333333333329</v>
      </c>
    </row>
    <row r="37" spans="1:6" x14ac:dyDescent="0.25">
      <c r="A37" s="3" t="s">
        <v>22</v>
      </c>
      <c r="B37" s="2">
        <v>3</v>
      </c>
      <c r="C37" s="2"/>
      <c r="D37" s="2">
        <v>9</v>
      </c>
      <c r="E37" s="2"/>
      <c r="F37" s="1" t="s">
        <v>147</v>
      </c>
    </row>
    <row r="38" spans="1:6" x14ac:dyDescent="0.25">
      <c r="A38" s="3"/>
      <c r="B38" s="2"/>
      <c r="C38" s="2"/>
      <c r="D38" s="2"/>
      <c r="E38" s="2"/>
      <c r="F38" s="2"/>
    </row>
    <row r="39" spans="1:6" x14ac:dyDescent="0.25">
      <c r="A39" s="3" t="s">
        <v>23</v>
      </c>
      <c r="B39" s="2">
        <f>(B31+B36)/(B32*$F31+B37*$F36)</f>
        <v>1.1721311475409837</v>
      </c>
      <c r="C39" s="2"/>
      <c r="D39" s="2">
        <f>(D31+D36)/(D32*$F31+D37*$F36)</f>
        <v>0.94545454545454533</v>
      </c>
      <c r="E39" s="2"/>
      <c r="F39" s="2"/>
    </row>
    <row r="40" spans="1:6" x14ac:dyDescent="0.25">
      <c r="A40" s="2"/>
      <c r="B40" s="1" t="s">
        <v>144</v>
      </c>
      <c r="C40" s="2"/>
      <c r="D40" s="1" t="s">
        <v>145</v>
      </c>
      <c r="E40" s="2"/>
      <c r="F4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workbookViewId="0">
      <selection activeCell="E46" sqref="E46"/>
    </sheetView>
  </sheetViews>
  <sheetFormatPr defaultRowHeight="15" x14ac:dyDescent="0.25"/>
  <cols>
    <col min="1" max="1" width="12.140625" style="2" customWidth="1"/>
    <col min="2" max="2" width="10.7109375" style="2" customWidth="1"/>
    <col min="3" max="3" width="12" style="2" customWidth="1"/>
    <col min="4" max="4" width="9.85546875" style="2" customWidth="1"/>
    <col min="5" max="5" width="17.85546875" style="2" customWidth="1"/>
    <col min="6" max="6" width="16.42578125" style="2" customWidth="1"/>
    <col min="7" max="7" width="13.140625" style="2" customWidth="1"/>
    <col min="8" max="8" width="14.42578125" style="2" customWidth="1"/>
    <col min="9" max="9" width="20.140625" style="2" customWidth="1"/>
    <col min="10" max="10" width="22" style="2" customWidth="1"/>
    <col min="11" max="11" width="12.85546875" style="2" customWidth="1"/>
    <col min="12" max="16384" width="9.140625" style="2"/>
  </cols>
  <sheetData>
    <row r="1" spans="1:10" ht="21" x14ac:dyDescent="0.35">
      <c r="A1" s="13" t="s">
        <v>39</v>
      </c>
      <c r="C1" s="3"/>
      <c r="D1" s="3"/>
      <c r="E1" s="3"/>
      <c r="F1" s="3"/>
      <c r="G1" s="3"/>
      <c r="H1" s="3"/>
      <c r="I1" s="3"/>
      <c r="J1" s="3"/>
    </row>
    <row r="2" spans="1:10" ht="18" customHeight="1" x14ac:dyDescent="0.25">
      <c r="A2" s="20" t="s">
        <v>31</v>
      </c>
      <c r="B2" s="3"/>
      <c r="C2" s="3"/>
      <c r="D2" s="3"/>
      <c r="E2" s="3"/>
      <c r="F2" s="3"/>
      <c r="G2" s="3"/>
      <c r="H2" s="3"/>
    </row>
    <row r="3" spans="1:10" ht="18" customHeight="1" x14ac:dyDescent="0.25">
      <c r="A3" s="23" t="s">
        <v>32</v>
      </c>
      <c r="B3" s="3"/>
      <c r="C3" s="3"/>
      <c r="D3" s="3"/>
      <c r="E3" s="3"/>
      <c r="F3" s="3"/>
      <c r="G3" s="3"/>
      <c r="H3" s="3"/>
    </row>
    <row r="4" spans="1:10" ht="18" customHeight="1" x14ac:dyDescent="0.25">
      <c r="A4" s="30" t="s">
        <v>121</v>
      </c>
      <c r="B4" s="3"/>
      <c r="C4" s="3"/>
      <c r="D4" s="3"/>
      <c r="E4" s="3"/>
      <c r="F4" s="3"/>
      <c r="G4" s="3"/>
      <c r="H4" s="3"/>
    </row>
    <row r="5" spans="1:10" ht="30.75" customHeight="1" x14ac:dyDescent="0.25">
      <c r="A5" s="23"/>
      <c r="B5" s="3"/>
      <c r="C5" s="3"/>
      <c r="D5" s="3"/>
      <c r="E5" s="3"/>
      <c r="F5" s="3"/>
      <c r="G5" s="3"/>
      <c r="H5" s="3"/>
    </row>
    <row r="6" spans="1:10" ht="17.25" customHeight="1" x14ac:dyDescent="0.25">
      <c r="A6" s="28" t="s">
        <v>136</v>
      </c>
      <c r="B6" s="28"/>
      <c r="C6" s="28"/>
      <c r="D6" s="28"/>
      <c r="E6" s="28"/>
      <c r="F6" s="27" t="s">
        <v>72</v>
      </c>
      <c r="G6" s="27" t="s">
        <v>78</v>
      </c>
      <c r="H6" s="27" t="s">
        <v>79</v>
      </c>
    </row>
    <row r="7" spans="1:10" ht="60.75" customHeight="1" x14ac:dyDescent="0.25">
      <c r="A7" s="11" t="s">
        <v>30</v>
      </c>
      <c r="B7" s="11" t="s">
        <v>1</v>
      </c>
      <c r="C7" s="11" t="s">
        <v>2</v>
      </c>
      <c r="D7" s="11" t="s">
        <v>3</v>
      </c>
      <c r="E7" s="11" t="s">
        <v>57</v>
      </c>
      <c r="F7" s="12" t="s">
        <v>58</v>
      </c>
      <c r="G7" s="11" t="s">
        <v>59</v>
      </c>
      <c r="H7" s="11" t="s">
        <v>60</v>
      </c>
    </row>
    <row r="8" spans="1:10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61</v>
      </c>
      <c r="F8" s="45">
        <v>1</v>
      </c>
      <c r="G8" s="46">
        <v>2318733.27</v>
      </c>
      <c r="H8" s="46">
        <v>26972.26</v>
      </c>
    </row>
    <row r="9" spans="1:10" x14ac:dyDescent="0.25">
      <c r="A9" s="14"/>
      <c r="B9" s="14"/>
      <c r="C9" s="14"/>
      <c r="D9" s="14"/>
      <c r="E9" s="14" t="s">
        <v>62</v>
      </c>
      <c r="F9" s="47">
        <v>1.1399999999999999</v>
      </c>
      <c r="G9" s="15"/>
      <c r="H9" s="16"/>
    </row>
    <row r="10" spans="1:10" x14ac:dyDescent="0.25">
      <c r="A10" s="14"/>
      <c r="B10" s="14"/>
      <c r="C10" s="14"/>
      <c r="D10" s="14"/>
      <c r="E10" s="14" t="s">
        <v>63</v>
      </c>
      <c r="F10" s="47">
        <v>1.1299999999999999</v>
      </c>
      <c r="G10" s="15"/>
      <c r="H10" s="16"/>
    </row>
    <row r="11" spans="1:10" x14ac:dyDescent="0.25">
      <c r="A11" s="14"/>
      <c r="B11" s="14" t="s">
        <v>9</v>
      </c>
      <c r="C11" s="14" t="s">
        <v>10</v>
      </c>
      <c r="D11" s="14" t="s">
        <v>12</v>
      </c>
      <c r="E11" s="14" t="s">
        <v>61</v>
      </c>
      <c r="F11" s="47">
        <v>1.0900000000000001</v>
      </c>
      <c r="G11" s="46">
        <v>1018406.12</v>
      </c>
      <c r="H11" s="46">
        <v>11826</v>
      </c>
    </row>
    <row r="12" spans="1:10" x14ac:dyDescent="0.25">
      <c r="A12" s="14"/>
      <c r="B12" s="14"/>
      <c r="C12" s="14"/>
      <c r="D12" s="14"/>
      <c r="E12" s="14" t="s">
        <v>62</v>
      </c>
      <c r="F12" s="47">
        <v>1.18</v>
      </c>
      <c r="G12" s="15"/>
      <c r="H12" s="16"/>
    </row>
    <row r="13" spans="1:10" x14ac:dyDescent="0.25">
      <c r="A13" s="14"/>
      <c r="B13" s="14"/>
      <c r="C13" s="14"/>
      <c r="D13" s="14"/>
      <c r="E13" s="14" t="s">
        <v>63</v>
      </c>
      <c r="F13" s="47">
        <v>1.1200000000000001</v>
      </c>
      <c r="G13" s="15"/>
      <c r="H13" s="16"/>
    </row>
    <row r="14" spans="1:10" x14ac:dyDescent="0.25">
      <c r="A14" s="14" t="s">
        <v>13</v>
      </c>
      <c r="B14" s="14" t="s">
        <v>9</v>
      </c>
      <c r="C14" s="14" t="s">
        <v>10</v>
      </c>
      <c r="D14" s="14" t="s">
        <v>11</v>
      </c>
      <c r="E14" s="14" t="s">
        <v>61</v>
      </c>
      <c r="F14" s="45">
        <v>1.0149999999999999</v>
      </c>
      <c r="G14" s="46">
        <v>2025891</v>
      </c>
      <c r="H14" s="46">
        <v>32659</v>
      </c>
    </row>
    <row r="15" spans="1:10" x14ac:dyDescent="0.25">
      <c r="A15" s="14"/>
      <c r="B15" s="14"/>
      <c r="C15" s="14"/>
      <c r="D15" s="14"/>
      <c r="E15" s="14" t="s">
        <v>62</v>
      </c>
      <c r="F15" s="47">
        <v>1.04</v>
      </c>
      <c r="G15" s="46"/>
      <c r="H15" s="16"/>
    </row>
    <row r="16" spans="1:10" x14ac:dyDescent="0.25">
      <c r="A16" s="14"/>
      <c r="B16" s="14"/>
      <c r="C16" s="14"/>
      <c r="D16" s="14"/>
      <c r="E16" s="14" t="s">
        <v>63</v>
      </c>
      <c r="F16" s="47">
        <v>1.03</v>
      </c>
      <c r="G16" s="46"/>
      <c r="H16" s="16"/>
    </row>
    <row r="17" spans="1:9" x14ac:dyDescent="0.25">
      <c r="A17" s="14"/>
      <c r="B17" s="14" t="s">
        <v>9</v>
      </c>
      <c r="C17" s="14" t="s">
        <v>10</v>
      </c>
      <c r="D17" s="14" t="s">
        <v>12</v>
      </c>
      <c r="E17" s="14" t="s">
        <v>61</v>
      </c>
      <c r="F17" s="47">
        <v>1</v>
      </c>
      <c r="G17" s="46">
        <v>1925618</v>
      </c>
      <c r="H17" s="46">
        <v>10649</v>
      </c>
    </row>
    <row r="18" spans="1:9" x14ac:dyDescent="0.25">
      <c r="A18" s="14"/>
      <c r="B18" s="14"/>
      <c r="C18" s="14"/>
      <c r="D18" s="14"/>
      <c r="E18" s="14" t="s">
        <v>62</v>
      </c>
      <c r="F18" s="47">
        <v>0</v>
      </c>
      <c r="G18" s="15"/>
      <c r="H18" s="16"/>
    </row>
    <row r="19" spans="1:9" x14ac:dyDescent="0.25">
      <c r="A19" s="14"/>
      <c r="B19" s="14"/>
      <c r="C19" s="14"/>
      <c r="D19" s="14"/>
      <c r="E19" s="14" t="s">
        <v>63</v>
      </c>
      <c r="F19" s="47">
        <v>1.1100000000000001</v>
      </c>
      <c r="G19" s="15"/>
      <c r="H19" s="16"/>
    </row>
    <row r="21" spans="1:9" x14ac:dyDescent="0.25">
      <c r="A21" s="28" t="s">
        <v>137</v>
      </c>
      <c r="B21" s="29"/>
      <c r="C21" s="29"/>
      <c r="D21" s="29"/>
      <c r="E21" s="29"/>
      <c r="F21" s="29"/>
      <c r="G21" s="27" t="s">
        <v>74</v>
      </c>
      <c r="H21" s="27" t="s">
        <v>75</v>
      </c>
    </row>
    <row r="22" spans="1:9" ht="105" x14ac:dyDescent="0.25">
      <c r="A22" s="11" t="s">
        <v>30</v>
      </c>
      <c r="B22" s="11" t="s">
        <v>1</v>
      </c>
      <c r="C22" s="11" t="s">
        <v>2</v>
      </c>
      <c r="D22" s="11" t="s">
        <v>3</v>
      </c>
      <c r="E22" s="11" t="s">
        <v>57</v>
      </c>
      <c r="F22" s="38" t="s">
        <v>64</v>
      </c>
      <c r="G22" s="17" t="s">
        <v>65</v>
      </c>
      <c r="H22" s="10" t="s">
        <v>71</v>
      </c>
    </row>
    <row r="23" spans="1:9" x14ac:dyDescent="0.25">
      <c r="A23" s="14" t="s">
        <v>8</v>
      </c>
      <c r="B23" s="14" t="s">
        <v>9</v>
      </c>
      <c r="C23" s="14" t="s">
        <v>10</v>
      </c>
      <c r="D23" s="14" t="s">
        <v>11</v>
      </c>
      <c r="E23" s="14" t="s">
        <v>61</v>
      </c>
      <c r="F23" s="45">
        <v>0.25</v>
      </c>
      <c r="G23" s="49">
        <f>(F23*G8+F29*G14)/SUM(G8,G14)</f>
        <v>0.28730386563439242</v>
      </c>
      <c r="H23" s="7"/>
      <c r="I23" s="6"/>
    </row>
    <row r="24" spans="1:9" s="39" customFormat="1" x14ac:dyDescent="0.25">
      <c r="A24" s="14"/>
      <c r="B24" s="14"/>
      <c r="C24" s="14"/>
      <c r="D24" s="14"/>
      <c r="E24" s="14" t="s">
        <v>62</v>
      </c>
      <c r="F24" s="45">
        <v>0.15</v>
      </c>
      <c r="G24" s="49">
        <f>(F24*G8+F30*G14)/SUM(G8,G14)</f>
        <v>0.18730386563439239</v>
      </c>
      <c r="H24" s="7"/>
      <c r="I24" s="40"/>
    </row>
    <row r="25" spans="1:9" s="39" customFormat="1" x14ac:dyDescent="0.25">
      <c r="A25" s="14"/>
      <c r="B25" s="14"/>
      <c r="C25" s="14"/>
      <c r="D25" s="14"/>
      <c r="E25" s="14" t="s">
        <v>63</v>
      </c>
      <c r="F25" s="45">
        <v>0.6</v>
      </c>
      <c r="G25" s="49">
        <f>(F25*G8+F31*G14)/SUM(G8,G14)</f>
        <v>0.52539226873121536</v>
      </c>
      <c r="H25" s="54">
        <f>SUM(G23:G25)</f>
        <v>1.0000000000000002</v>
      </c>
      <c r="I25" s="40"/>
    </row>
    <row r="26" spans="1:9" x14ac:dyDescent="0.25">
      <c r="A26" s="14"/>
      <c r="B26" s="14" t="s">
        <v>9</v>
      </c>
      <c r="C26" s="14" t="s">
        <v>10</v>
      </c>
      <c r="D26" s="14" t="s">
        <v>12</v>
      </c>
      <c r="E26" s="14" t="s">
        <v>61</v>
      </c>
      <c r="F26" s="45">
        <v>0.19</v>
      </c>
      <c r="G26" s="51">
        <f>(F26*$G$11+F32*$G$17)/SUM($G$11,$G$17)</f>
        <v>0.27502998949614588</v>
      </c>
      <c r="H26" s="7"/>
    </row>
    <row r="27" spans="1:9" s="39" customFormat="1" x14ac:dyDescent="0.25">
      <c r="A27" s="14"/>
      <c r="B27" s="14"/>
      <c r="C27" s="14"/>
      <c r="D27" s="14"/>
      <c r="E27" s="14" t="s">
        <v>62</v>
      </c>
      <c r="F27" s="45">
        <v>0.11</v>
      </c>
      <c r="G27" s="51">
        <f>(F27*$G$11+F33*$G$17)/SUM($G$11,$G$17)</f>
        <v>3.8051547349415057E-2</v>
      </c>
      <c r="H27" s="7"/>
    </row>
    <row r="28" spans="1:9" s="39" customFormat="1" x14ac:dyDescent="0.25">
      <c r="A28" s="14"/>
      <c r="B28" s="14"/>
      <c r="C28" s="14"/>
      <c r="D28" s="14"/>
      <c r="E28" s="14" t="s">
        <v>63</v>
      </c>
      <c r="F28" s="45">
        <v>0.7</v>
      </c>
      <c r="G28" s="51">
        <f>(F28*$G$11+F34*$G$17)/SUM($G$11,$G$17)</f>
        <v>0.68691846315443905</v>
      </c>
      <c r="H28" s="54">
        <f>SUM(G26:G28)</f>
        <v>1</v>
      </c>
    </row>
    <row r="29" spans="1:9" x14ac:dyDescent="0.25">
      <c r="A29" s="14" t="s">
        <v>13</v>
      </c>
      <c r="B29" s="14" t="s">
        <v>9</v>
      </c>
      <c r="C29" s="14" t="s">
        <v>10</v>
      </c>
      <c r="D29" s="14" t="s">
        <v>11</v>
      </c>
      <c r="E29" s="14" t="s">
        <v>61</v>
      </c>
      <c r="F29" s="48">
        <v>0.33</v>
      </c>
      <c r="G29" s="44">
        <v>0.28730386563439242</v>
      </c>
      <c r="H29" s="7"/>
    </row>
    <row r="30" spans="1:9" s="39" customFormat="1" x14ac:dyDescent="0.25">
      <c r="A30" s="14"/>
      <c r="B30" s="14"/>
      <c r="C30" s="14"/>
      <c r="D30" s="14"/>
      <c r="E30" s="14" t="s">
        <v>62</v>
      </c>
      <c r="F30" s="48">
        <v>0.23</v>
      </c>
      <c r="G30" s="44">
        <v>0.18730386563439239</v>
      </c>
      <c r="H30" s="7"/>
    </row>
    <row r="31" spans="1:9" s="39" customFormat="1" x14ac:dyDescent="0.25">
      <c r="A31" s="14"/>
      <c r="B31" s="14"/>
      <c r="C31" s="14"/>
      <c r="D31" s="14"/>
      <c r="E31" s="14" t="s">
        <v>63</v>
      </c>
      <c r="F31" s="48">
        <v>0.44</v>
      </c>
      <c r="G31" s="49">
        <v>0.52539226873121536</v>
      </c>
      <c r="H31" s="54">
        <f>SUM(G29:G31)</f>
        <v>1.0000000000000002</v>
      </c>
    </row>
    <row r="32" spans="1:9" x14ac:dyDescent="0.25">
      <c r="A32" s="14"/>
      <c r="B32" s="14" t="s">
        <v>9</v>
      </c>
      <c r="C32" s="14" t="s">
        <v>10</v>
      </c>
      <c r="D32" s="14" t="s">
        <v>12</v>
      </c>
      <c r="E32" s="14" t="s">
        <v>61</v>
      </c>
      <c r="F32" s="48">
        <v>0.32</v>
      </c>
      <c r="G32" s="44">
        <v>0.27502998949614588</v>
      </c>
      <c r="H32" s="7"/>
    </row>
    <row r="33" spans="1:15" s="39" customFormat="1" x14ac:dyDescent="0.25">
      <c r="A33" s="14"/>
      <c r="B33" s="14"/>
      <c r="C33" s="14"/>
      <c r="D33" s="14"/>
      <c r="E33" s="14" t="s">
        <v>62</v>
      </c>
      <c r="F33" s="48">
        <v>0</v>
      </c>
      <c r="G33" s="53">
        <v>0</v>
      </c>
      <c r="H33" s="7"/>
    </row>
    <row r="34" spans="1:15" s="39" customFormat="1" x14ac:dyDescent="0.25">
      <c r="A34" s="14"/>
      <c r="B34" s="14"/>
      <c r="C34" s="14"/>
      <c r="D34" s="14"/>
      <c r="E34" s="14" t="s">
        <v>63</v>
      </c>
      <c r="F34" s="48">
        <v>0.68</v>
      </c>
      <c r="G34" s="49">
        <v>0.68691846315443905</v>
      </c>
      <c r="H34" s="54">
        <f>SUM(G32:G34)</f>
        <v>0.96194845265058493</v>
      </c>
    </row>
    <row r="35" spans="1:15" s="39" customFormat="1" x14ac:dyDescent="0.25">
      <c r="A35" s="14"/>
      <c r="B35" s="14"/>
      <c r="C35" s="14"/>
      <c r="D35" s="14"/>
      <c r="E35" s="16"/>
      <c r="F35" s="22"/>
      <c r="G35" s="14"/>
    </row>
    <row r="36" spans="1:15" x14ac:dyDescent="0.25">
      <c r="A36" s="28" t="s">
        <v>138</v>
      </c>
      <c r="B36" s="29"/>
      <c r="C36" s="29"/>
      <c r="D36" s="29"/>
      <c r="E36" s="29"/>
      <c r="F36" s="27" t="s">
        <v>76</v>
      </c>
      <c r="G36" s="29"/>
      <c r="H36" s="29"/>
      <c r="I36" s="14"/>
    </row>
    <row r="37" spans="1:15" ht="45" x14ac:dyDescent="0.25">
      <c r="A37" s="11" t="s">
        <v>30</v>
      </c>
      <c r="B37" s="11" t="s">
        <v>1</v>
      </c>
      <c r="C37" s="11" t="s">
        <v>2</v>
      </c>
      <c r="D37" s="11" t="s">
        <v>3</v>
      </c>
      <c r="E37" s="11" t="s">
        <v>27</v>
      </c>
      <c r="F37" s="17" t="s">
        <v>29</v>
      </c>
      <c r="I37" s="14"/>
    </row>
    <row r="38" spans="1:15" x14ac:dyDescent="0.25">
      <c r="A38" s="14" t="s">
        <v>8</v>
      </c>
      <c r="B38" s="14" t="s">
        <v>9</v>
      </c>
      <c r="C38" s="14" t="s">
        <v>10</v>
      </c>
      <c r="D38" s="14" t="s">
        <v>11</v>
      </c>
      <c r="E38" s="50">
        <f>G8/SUM(G8,G11)</f>
        <v>0.69482661615761876</v>
      </c>
      <c r="F38" s="49">
        <f>E38*SUM($G$8,$G$11)/SUM($G$8:$G$19)+E40*SUM($G$14,$G$17)/SUM($G$8:$G$19)</f>
        <v>0.59608092440853766</v>
      </c>
      <c r="G38" s="8"/>
      <c r="I38" s="14"/>
    </row>
    <row r="39" spans="1:15" x14ac:dyDescent="0.25">
      <c r="A39" s="14"/>
      <c r="B39" s="14" t="s">
        <v>9</v>
      </c>
      <c r="C39" s="14" t="s">
        <v>10</v>
      </c>
      <c r="D39" s="14" t="s">
        <v>12</v>
      </c>
      <c r="E39" s="50">
        <f>G11/SUM(G8,G11)</f>
        <v>0.30517338384238124</v>
      </c>
      <c r="F39" s="49">
        <f>E39*SUM($G$8,$G$11)/SUM($G$8:$G$19)+E41*SUM($G$14,$G$17)/SUM($G$8:$G$19)</f>
        <v>0.40391907559146223</v>
      </c>
      <c r="G39" s="8"/>
      <c r="I39" s="14"/>
      <c r="O39" s="57"/>
    </row>
    <row r="40" spans="1:15" x14ac:dyDescent="0.25">
      <c r="A40" s="14" t="s">
        <v>13</v>
      </c>
      <c r="B40" s="14" t="s">
        <v>9</v>
      </c>
      <c r="C40" s="14" t="s">
        <v>10</v>
      </c>
      <c r="D40" s="14" t="s">
        <v>11</v>
      </c>
      <c r="E40" s="50">
        <f>G14/SUM(G14,G17)</f>
        <v>0.51268793769671284</v>
      </c>
      <c r="F40" s="22"/>
      <c r="G40" s="14"/>
      <c r="I40" s="14"/>
    </row>
    <row r="41" spans="1:15" x14ac:dyDescent="0.25">
      <c r="A41" s="14"/>
      <c r="B41" s="14" t="s">
        <v>9</v>
      </c>
      <c r="C41" s="14" t="s">
        <v>10</v>
      </c>
      <c r="D41" s="14" t="s">
        <v>12</v>
      </c>
      <c r="E41" s="50">
        <f>G17/SUM(G14,G17)</f>
        <v>0.48731206230328716</v>
      </c>
      <c r="F41" s="22"/>
      <c r="G41" s="14"/>
      <c r="I41" s="14"/>
    </row>
    <row r="42" spans="1:15" x14ac:dyDescent="0.25">
      <c r="A42" s="14"/>
      <c r="B42" s="14"/>
      <c r="C42" s="14"/>
      <c r="E42" s="7"/>
      <c r="F42" s="22"/>
      <c r="G42" s="14"/>
      <c r="I42" s="14"/>
    </row>
    <row r="43" spans="1:15" x14ac:dyDescent="0.25">
      <c r="A43" s="14"/>
      <c r="B43" s="14"/>
      <c r="C43" s="14"/>
      <c r="E43" s="7"/>
      <c r="F43" s="22"/>
      <c r="G43" s="14"/>
      <c r="I43" s="14"/>
    </row>
    <row r="44" spans="1:15" x14ac:dyDescent="0.25">
      <c r="A44" s="28" t="s">
        <v>37</v>
      </c>
      <c r="B44" s="29"/>
      <c r="C44" s="29"/>
      <c r="D44" s="29"/>
      <c r="E44" s="27" t="s">
        <v>80</v>
      </c>
      <c r="F44" s="27" t="s">
        <v>81</v>
      </c>
      <c r="G44" s="27" t="s">
        <v>82</v>
      </c>
      <c r="H44" s="27" t="s">
        <v>83</v>
      </c>
      <c r="I44" s="27" t="s">
        <v>87</v>
      </c>
      <c r="J44" s="27" t="s">
        <v>88</v>
      </c>
      <c r="K44" s="64"/>
    </row>
    <row r="45" spans="1:15" ht="60" customHeight="1" x14ac:dyDescent="0.25">
      <c r="A45" s="11" t="s">
        <v>30</v>
      </c>
      <c r="B45" s="11" t="s">
        <v>1</v>
      </c>
      <c r="C45" s="11" t="s">
        <v>2</v>
      </c>
      <c r="D45" s="11" t="s">
        <v>3</v>
      </c>
      <c r="E45" s="17" t="s">
        <v>66</v>
      </c>
      <c r="F45" s="52" t="s">
        <v>67</v>
      </c>
      <c r="G45" s="52" t="s">
        <v>68</v>
      </c>
      <c r="H45" s="52" t="s">
        <v>69</v>
      </c>
      <c r="I45" s="52" t="s">
        <v>70</v>
      </c>
      <c r="J45" s="52" t="s">
        <v>119</v>
      </c>
      <c r="K45" s="66" t="s">
        <v>90</v>
      </c>
    </row>
    <row r="46" spans="1:15" s="41" customFormat="1" ht="42" customHeight="1" x14ac:dyDescent="0.25">
      <c r="A46" s="11"/>
      <c r="B46" s="11"/>
      <c r="C46" s="11"/>
      <c r="D46" s="56"/>
      <c r="E46" s="9" t="s">
        <v>77</v>
      </c>
      <c r="F46" s="43" t="s">
        <v>85</v>
      </c>
      <c r="G46" s="43" t="s">
        <v>84</v>
      </c>
      <c r="H46" s="43" t="s">
        <v>86</v>
      </c>
      <c r="I46" s="43" t="s">
        <v>92</v>
      </c>
      <c r="J46" s="43" t="s">
        <v>89</v>
      </c>
      <c r="K46" s="67" t="s">
        <v>91</v>
      </c>
    </row>
    <row r="47" spans="1:15" x14ac:dyDescent="0.25">
      <c r="A47" s="14" t="s">
        <v>8</v>
      </c>
      <c r="B47" s="14" t="s">
        <v>9</v>
      </c>
      <c r="C47" s="14" t="s">
        <v>10</v>
      </c>
      <c r="D47" s="14" t="s">
        <v>11</v>
      </c>
      <c r="E47" s="55">
        <f>SUMPRODUCT(F8:F10,G23:G25)/H25</f>
        <v>1.0945235361238728</v>
      </c>
      <c r="F47" s="44">
        <f>SUMPRODUCT(E47:E48,$F$38:$F$39)</f>
        <v>1.102403454838353</v>
      </c>
      <c r="G47" s="44">
        <f>H8/G8*E47</f>
        <v>1.2731853971480078E-2</v>
      </c>
      <c r="H47" s="44">
        <f>SUMPRODUCT(G47:G48,$F$38:$F$39)</f>
        <v>1.2814488207438345E-2</v>
      </c>
      <c r="I47" s="44">
        <f>F47+H47</f>
        <v>1.1152179430457914</v>
      </c>
      <c r="J47" s="44">
        <f>AVERAGE(I47:I49)</f>
        <v>1.0878296089041246</v>
      </c>
      <c r="K47" s="68">
        <f>I47/J47</f>
        <v>1.0251770441965242</v>
      </c>
    </row>
    <row r="48" spans="1:15" x14ac:dyDescent="0.25">
      <c r="A48" s="14"/>
      <c r="B48" s="14" t="s">
        <v>9</v>
      </c>
      <c r="C48" s="14" t="s">
        <v>10</v>
      </c>
      <c r="D48" s="14" t="s">
        <v>12</v>
      </c>
      <c r="E48" s="55">
        <f>SUMPRODUCT(F11:F13,G26:G28)/H28</f>
        <v>1.1140321931560806</v>
      </c>
      <c r="F48" s="44"/>
      <c r="G48" s="44">
        <f>H11/G11*E48</f>
        <v>1.2936435138728162E-2</v>
      </c>
      <c r="H48" s="44"/>
      <c r="I48" s="42"/>
      <c r="K48" s="68"/>
    </row>
    <row r="49" spans="1:11" x14ac:dyDescent="0.25">
      <c r="A49" s="14" t="s">
        <v>13</v>
      </c>
      <c r="B49" s="14" t="s">
        <v>9</v>
      </c>
      <c r="C49" s="14" t="s">
        <v>10</v>
      </c>
      <c r="D49" s="14" t="s">
        <v>11</v>
      </c>
      <c r="E49" s="55">
        <f>SUMPRODUCT(F14:F16,G29:G31)/H31</f>
        <v>1.0275634806718281</v>
      </c>
      <c r="F49" s="44">
        <f>SUMPRODUCT(E49:E50,$F$38:$F$39)</f>
        <v>1.048157900024894</v>
      </c>
      <c r="G49" s="44">
        <f>H14/G14*E49</f>
        <v>1.6565153660913264E-2</v>
      </c>
      <c r="H49" s="44">
        <f>SUMPRODUCT(G49:G50,$F$38:$F$39)</f>
        <v>1.2283374737564065E-2</v>
      </c>
      <c r="I49" s="44">
        <f>F49+H49</f>
        <v>1.0604412747624581</v>
      </c>
      <c r="K49" s="68">
        <f>I49/J47</f>
        <v>0.974822955803476</v>
      </c>
    </row>
    <row r="50" spans="1:11" x14ac:dyDescent="0.25">
      <c r="A50" s="14"/>
      <c r="B50" s="14" t="s">
        <v>9</v>
      </c>
      <c r="C50" s="14" t="s">
        <v>10</v>
      </c>
      <c r="D50" s="14" t="s">
        <v>12</v>
      </c>
      <c r="E50" s="55">
        <f>SUMPRODUCT(F17:F19,G32:G34)/H34</f>
        <v>1.0785499791998054</v>
      </c>
      <c r="F50" s="44"/>
      <c r="G50" s="44">
        <f>H17/G17*E50</f>
        <v>5.9645675977783386E-3</v>
      </c>
      <c r="H50" s="44"/>
      <c r="I50" s="42"/>
      <c r="K50" s="6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"/>
  <sheetViews>
    <sheetView workbookViewId="0">
      <selection activeCell="M29" sqref="M29"/>
    </sheetView>
  </sheetViews>
  <sheetFormatPr defaultRowHeight="15" x14ac:dyDescent="0.25"/>
  <cols>
    <col min="1" max="1" width="18" style="41" customWidth="1"/>
    <col min="2" max="2" width="25.7109375" style="41" customWidth="1"/>
    <col min="3" max="3" width="12" style="41" customWidth="1"/>
    <col min="4" max="4" width="9.85546875" style="41" customWidth="1"/>
    <col min="5" max="5" width="17.85546875" style="41" customWidth="1"/>
    <col min="6" max="6" width="16.42578125" style="41" customWidth="1"/>
    <col min="7" max="7" width="13.140625" style="41" customWidth="1"/>
    <col min="8" max="8" width="15.28515625" style="41" customWidth="1"/>
    <col min="9" max="9" width="15.85546875" style="41" customWidth="1"/>
    <col min="10" max="10" width="16.42578125" style="41" customWidth="1"/>
    <col min="11" max="11" width="12.85546875" style="41" customWidth="1"/>
    <col min="12" max="12" width="14.28515625" style="41" customWidth="1"/>
    <col min="13" max="13" width="12.7109375" style="41" bestFit="1" customWidth="1"/>
    <col min="14" max="16384" width="9.140625" style="41"/>
  </cols>
  <sheetData>
    <row r="1" spans="1:13" ht="21" x14ac:dyDescent="0.35">
      <c r="A1" s="13" t="s">
        <v>96</v>
      </c>
      <c r="B1" s="13"/>
      <c r="C1" s="3"/>
      <c r="D1" s="3"/>
      <c r="E1" s="3"/>
      <c r="F1" s="3"/>
      <c r="G1" s="3"/>
      <c r="H1" s="3"/>
      <c r="I1" s="3"/>
      <c r="J1" s="3"/>
    </row>
    <row r="2" spans="1:13" ht="18" customHeight="1" x14ac:dyDescent="0.25">
      <c r="A2" s="20" t="s">
        <v>31</v>
      </c>
      <c r="B2" s="20"/>
      <c r="C2" s="3"/>
      <c r="D2" s="3"/>
      <c r="E2" s="3"/>
      <c r="F2" s="3"/>
      <c r="G2" s="3"/>
      <c r="H2" s="3"/>
    </row>
    <row r="3" spans="1:13" ht="18" customHeight="1" x14ac:dyDescent="0.25">
      <c r="A3" s="23" t="s">
        <v>32</v>
      </c>
      <c r="B3" s="23"/>
      <c r="C3" s="3"/>
      <c r="D3" s="3"/>
      <c r="E3" s="3"/>
      <c r="F3" s="3"/>
      <c r="G3" s="3"/>
      <c r="H3" s="3"/>
    </row>
    <row r="4" spans="1:13" ht="18" customHeight="1" x14ac:dyDescent="0.25">
      <c r="A4" s="30" t="s">
        <v>122</v>
      </c>
      <c r="B4" s="30"/>
      <c r="C4" s="3"/>
      <c r="D4" s="3"/>
      <c r="E4" s="3"/>
      <c r="F4" s="3"/>
      <c r="G4" s="3"/>
      <c r="H4" s="3"/>
    </row>
    <row r="5" spans="1:13" ht="30.75" customHeight="1" x14ac:dyDescent="0.25">
      <c r="A5" s="23"/>
      <c r="B5" s="23"/>
      <c r="C5" s="3"/>
      <c r="D5" s="3"/>
      <c r="E5" s="3"/>
      <c r="F5" s="3"/>
      <c r="G5" s="3"/>
      <c r="H5" s="3"/>
    </row>
    <row r="6" spans="1:13" ht="17.25" customHeight="1" x14ac:dyDescent="0.25">
      <c r="A6" s="28" t="s">
        <v>127</v>
      </c>
      <c r="B6" s="28"/>
      <c r="C6" s="28"/>
      <c r="D6" s="28"/>
      <c r="E6" s="28"/>
      <c r="F6" s="29"/>
      <c r="G6" s="29"/>
      <c r="H6" s="27" t="s">
        <v>72</v>
      </c>
      <c r="I6" s="27" t="s">
        <v>78</v>
      </c>
      <c r="J6" s="27" t="s">
        <v>79</v>
      </c>
    </row>
    <row r="7" spans="1:13" ht="60.75" customHeight="1" x14ac:dyDescent="0.25">
      <c r="A7" s="11" t="s">
        <v>97</v>
      </c>
      <c r="B7" s="11" t="s">
        <v>98</v>
      </c>
      <c r="C7" s="11" t="s">
        <v>2</v>
      </c>
      <c r="D7" s="11" t="s">
        <v>3</v>
      </c>
      <c r="E7" s="11" t="s">
        <v>57</v>
      </c>
      <c r="F7" s="12" t="s">
        <v>109</v>
      </c>
      <c r="G7" s="11" t="s">
        <v>110</v>
      </c>
      <c r="H7" s="17" t="s">
        <v>108</v>
      </c>
      <c r="I7" s="10" t="s">
        <v>139</v>
      </c>
      <c r="J7" s="10" t="s">
        <v>140</v>
      </c>
    </row>
    <row r="8" spans="1:13" x14ac:dyDescent="0.25">
      <c r="A8" s="14" t="s">
        <v>100</v>
      </c>
      <c r="B8" s="14" t="s">
        <v>102</v>
      </c>
      <c r="C8" s="14" t="s">
        <v>10</v>
      </c>
      <c r="D8" s="14" t="s">
        <v>11</v>
      </c>
      <c r="E8" s="14" t="s">
        <v>99</v>
      </c>
      <c r="F8" s="73">
        <v>1.77</v>
      </c>
      <c r="G8" s="76">
        <v>64495.288241999995</v>
      </c>
      <c r="H8" s="44">
        <f>(F8*G8+F12*G12)/SUM(G8,G12)</f>
        <v>1.615953164122113</v>
      </c>
      <c r="I8" s="82">
        <f>SUM(G8:G9)</f>
        <v>3224764.4120999998</v>
      </c>
      <c r="J8" s="82">
        <v>150553.54380000001</v>
      </c>
      <c r="K8" s="74"/>
      <c r="L8" s="74"/>
      <c r="M8" s="75"/>
    </row>
    <row r="9" spans="1:13" x14ac:dyDescent="0.25">
      <c r="A9" s="14"/>
      <c r="B9" s="14"/>
      <c r="C9" s="14"/>
      <c r="D9" s="14"/>
      <c r="E9" s="14" t="s">
        <v>63</v>
      </c>
      <c r="F9" s="73">
        <v>1.74</v>
      </c>
      <c r="G9" s="76">
        <v>3160269.1238579997</v>
      </c>
      <c r="H9" s="44">
        <f>(F9*G9+F13*G13)/SUM(G9,G13)</f>
        <v>1.4668262913133363</v>
      </c>
      <c r="I9" s="7"/>
      <c r="J9" s="7"/>
      <c r="K9" s="15"/>
      <c r="L9" s="16"/>
    </row>
    <row r="10" spans="1:13" x14ac:dyDescent="0.25">
      <c r="A10" s="14"/>
      <c r="B10" s="14"/>
      <c r="C10" s="14" t="s">
        <v>10</v>
      </c>
      <c r="D10" s="14" t="s">
        <v>12</v>
      </c>
      <c r="E10" s="14" t="s">
        <v>99</v>
      </c>
      <c r="F10" s="73">
        <v>1.83</v>
      </c>
      <c r="G10" s="76">
        <v>982087.34368499997</v>
      </c>
      <c r="H10" s="44">
        <f>(F10*G10+F14*G14)/SUM(G10,G14)</f>
        <v>1.7824541033983454</v>
      </c>
      <c r="I10" s="82">
        <f>SUM(G10:G11)</f>
        <v>6547248.9578999998</v>
      </c>
      <c r="J10" s="82">
        <v>305669.3162</v>
      </c>
      <c r="K10" s="14"/>
      <c r="L10" s="14"/>
    </row>
    <row r="11" spans="1:13" x14ac:dyDescent="0.25">
      <c r="A11" s="14"/>
      <c r="B11" s="14"/>
      <c r="C11" s="14"/>
      <c r="D11" s="14"/>
      <c r="E11" s="14" t="s">
        <v>63</v>
      </c>
      <c r="F11" s="73">
        <v>1.8</v>
      </c>
      <c r="G11" s="76">
        <v>5565161.6142149996</v>
      </c>
      <c r="H11" s="44">
        <f>(F11*G11+F15*G15)/SUM(G11,G15)</f>
        <v>1.8228374211469787</v>
      </c>
      <c r="I11" s="7"/>
      <c r="J11" s="7"/>
      <c r="K11" s="15"/>
      <c r="L11" s="16"/>
    </row>
    <row r="12" spans="1:13" x14ac:dyDescent="0.25">
      <c r="A12" s="14"/>
      <c r="B12" s="14" t="s">
        <v>103</v>
      </c>
      <c r="C12" s="14" t="s">
        <v>10</v>
      </c>
      <c r="D12" s="14" t="s">
        <v>11</v>
      </c>
      <c r="E12" s="14" t="s">
        <v>99</v>
      </c>
      <c r="F12" s="73">
        <v>1.552</v>
      </c>
      <c r="G12" s="76">
        <v>155352.67440000002</v>
      </c>
      <c r="H12" s="78"/>
      <c r="I12" s="82">
        <f>SUM(G12:G13)</f>
        <v>1412297.04</v>
      </c>
      <c r="J12" s="82">
        <v>3250.8410000000003</v>
      </c>
      <c r="K12" s="74"/>
      <c r="L12" s="74"/>
    </row>
    <row r="13" spans="1:13" x14ac:dyDescent="0.25">
      <c r="A13" s="14"/>
      <c r="B13" s="14"/>
      <c r="C13" s="14"/>
      <c r="D13" s="14"/>
      <c r="E13" s="14" t="s">
        <v>63</v>
      </c>
      <c r="F13" s="73">
        <v>0.78</v>
      </c>
      <c r="G13" s="76">
        <v>1256944.3656000001</v>
      </c>
      <c r="H13" s="78"/>
      <c r="I13" s="7"/>
      <c r="J13" s="7"/>
      <c r="K13" s="15"/>
      <c r="L13" s="16"/>
    </row>
    <row r="14" spans="1:13" x14ac:dyDescent="0.25">
      <c r="A14" s="14"/>
      <c r="B14" s="14"/>
      <c r="C14" s="14" t="s">
        <v>10</v>
      </c>
      <c r="D14" s="14" t="s">
        <v>12</v>
      </c>
      <c r="E14" s="14" t="s">
        <v>99</v>
      </c>
      <c r="F14" s="73">
        <v>1.66</v>
      </c>
      <c r="G14" s="76">
        <v>381320.20080000005</v>
      </c>
      <c r="H14" s="78"/>
      <c r="I14" s="82">
        <f>SUM(G14:G15)</f>
        <v>1155515.76</v>
      </c>
      <c r="J14" s="82">
        <v>2659.779</v>
      </c>
      <c r="K14" s="15"/>
      <c r="L14" s="16"/>
    </row>
    <row r="15" spans="1:13" x14ac:dyDescent="0.25">
      <c r="A15" s="14"/>
      <c r="B15" s="14"/>
      <c r="C15" s="14"/>
      <c r="D15" s="14"/>
      <c r="E15" s="14" t="s">
        <v>63</v>
      </c>
      <c r="F15" s="73">
        <v>1.9870000000000001</v>
      </c>
      <c r="G15" s="76">
        <v>774195.55920000002</v>
      </c>
      <c r="H15" s="78"/>
      <c r="I15" s="7"/>
      <c r="J15" s="7"/>
      <c r="K15" s="15"/>
      <c r="L15" s="16"/>
    </row>
    <row r="16" spans="1:13" x14ac:dyDescent="0.25">
      <c r="A16" s="14" t="s">
        <v>101</v>
      </c>
      <c r="B16" s="14" t="s">
        <v>104</v>
      </c>
      <c r="C16" s="14" t="s">
        <v>10</v>
      </c>
      <c r="D16" s="14" t="s">
        <v>11</v>
      </c>
      <c r="E16" s="14" t="s">
        <v>99</v>
      </c>
      <c r="F16" s="73">
        <v>1.26</v>
      </c>
      <c r="G16" s="76">
        <v>270889.31200000003</v>
      </c>
      <c r="H16" s="44">
        <f>(F16*G16+F20*G20)/SUM(G16,G20)</f>
        <v>1.4529602102016392</v>
      </c>
      <c r="I16" s="82">
        <f>SUM(G16:G17)</f>
        <v>2708893.12</v>
      </c>
      <c r="J16" s="82">
        <v>84671.360000000001</v>
      </c>
      <c r="K16" s="74"/>
      <c r="L16" s="74"/>
    </row>
    <row r="17" spans="1:13" x14ac:dyDescent="0.25">
      <c r="A17" s="14"/>
      <c r="B17" s="14"/>
      <c r="C17" s="14"/>
      <c r="D17" s="14"/>
      <c r="E17" s="14" t="s">
        <v>63</v>
      </c>
      <c r="F17" s="73">
        <v>0.16400000000000001</v>
      </c>
      <c r="G17" s="76">
        <v>2438003.8080000002</v>
      </c>
      <c r="H17" s="44">
        <f>(F17*G17+F21*G21)/SUM(G17,G21)</f>
        <v>0.55552182318929422</v>
      </c>
      <c r="I17" s="7"/>
      <c r="J17" s="7"/>
      <c r="K17" s="46"/>
      <c r="L17" s="16"/>
    </row>
    <row r="18" spans="1:13" x14ac:dyDescent="0.25">
      <c r="A18" s="14"/>
      <c r="B18" s="14"/>
      <c r="C18" s="14" t="s">
        <v>10</v>
      </c>
      <c r="D18" s="14" t="s">
        <v>12</v>
      </c>
      <c r="E18" s="14" t="s">
        <v>99</v>
      </c>
      <c r="F18" s="73">
        <v>1.93</v>
      </c>
      <c r="G18" s="76">
        <v>276307.09824000002</v>
      </c>
      <c r="H18" s="44">
        <f>(F18*G18+F22*G22)/SUM(G18,G22)</f>
        <v>1.7942384508238558</v>
      </c>
      <c r="I18" s="82">
        <f>SUM(G18:G19)</f>
        <v>5756397.8800000008</v>
      </c>
      <c r="J18" s="82">
        <v>179926.64</v>
      </c>
      <c r="K18" s="14"/>
      <c r="L18" s="14"/>
    </row>
    <row r="19" spans="1:13" x14ac:dyDescent="0.25">
      <c r="A19" s="14"/>
      <c r="B19" s="14"/>
      <c r="C19" s="14"/>
      <c r="D19" s="14"/>
      <c r="E19" s="14" t="s">
        <v>63</v>
      </c>
      <c r="F19" s="73">
        <v>1.1000000000000001</v>
      </c>
      <c r="G19" s="76">
        <v>5480090.7817600006</v>
      </c>
      <c r="H19" s="44">
        <f>(F19*G19+F23*G23)/SUM(G19,G23)</f>
        <v>1.0386735664814426</v>
      </c>
      <c r="I19" s="7"/>
      <c r="J19" s="7"/>
      <c r="K19" s="15"/>
      <c r="L19" s="16"/>
    </row>
    <row r="20" spans="1:13" x14ac:dyDescent="0.25">
      <c r="A20" s="14"/>
      <c r="B20" s="14" t="s">
        <v>105</v>
      </c>
      <c r="C20" s="14" t="s">
        <v>10</v>
      </c>
      <c r="D20" s="14" t="s">
        <v>11</v>
      </c>
      <c r="E20" s="14" t="s">
        <v>99</v>
      </c>
      <c r="F20" s="73">
        <v>1.93</v>
      </c>
      <c r="G20" s="76">
        <v>109573.3725</v>
      </c>
      <c r="H20" s="44"/>
      <c r="I20" s="82">
        <f>SUM(G20:G21)</f>
        <v>876586.98</v>
      </c>
      <c r="J20" s="82">
        <v>1189.92</v>
      </c>
      <c r="K20" s="74"/>
      <c r="L20" s="74"/>
    </row>
    <row r="21" spans="1:13" x14ac:dyDescent="0.25">
      <c r="A21" s="14"/>
      <c r="B21" s="14"/>
      <c r="C21" s="14"/>
      <c r="D21" s="14"/>
      <c r="E21" s="14" t="s">
        <v>63</v>
      </c>
      <c r="F21" s="73">
        <v>1.8</v>
      </c>
      <c r="G21" s="76">
        <v>767013.60749999993</v>
      </c>
      <c r="H21" s="78"/>
      <c r="I21" s="7"/>
      <c r="J21" s="7"/>
      <c r="K21" s="15"/>
      <c r="L21" s="16"/>
    </row>
    <row r="22" spans="1:13" x14ac:dyDescent="0.25">
      <c r="A22" s="14"/>
      <c r="B22" s="14"/>
      <c r="C22" s="14" t="s">
        <v>10</v>
      </c>
      <c r="D22" s="14" t="s">
        <v>12</v>
      </c>
      <c r="E22" s="14" t="s">
        <v>99</v>
      </c>
      <c r="F22" s="73">
        <v>1.68</v>
      </c>
      <c r="G22" s="76">
        <v>328364.74440000003</v>
      </c>
      <c r="H22" s="78"/>
      <c r="I22" s="82">
        <f>SUM(G22:G23)</f>
        <v>1492567.02</v>
      </c>
      <c r="J22" s="82">
        <v>2026.08</v>
      </c>
      <c r="K22" s="15"/>
      <c r="L22" s="16"/>
    </row>
    <row r="23" spans="1:13" x14ac:dyDescent="0.25">
      <c r="A23" s="14"/>
      <c r="B23" s="14"/>
      <c r="C23" s="14"/>
      <c r="D23" s="14"/>
      <c r="E23" s="14" t="s">
        <v>63</v>
      </c>
      <c r="F23" s="73">
        <v>0.75</v>
      </c>
      <c r="G23" s="76">
        <v>1164202.2756000001</v>
      </c>
      <c r="H23" s="78"/>
      <c r="I23" s="22"/>
      <c r="J23" s="54"/>
    </row>
    <row r="25" spans="1:13" x14ac:dyDescent="0.25">
      <c r="A25" s="28" t="s">
        <v>128</v>
      </c>
      <c r="B25" s="28"/>
      <c r="C25" s="29"/>
      <c r="D25" s="29"/>
      <c r="E25" s="29"/>
      <c r="F25" s="29"/>
      <c r="G25" s="29"/>
      <c r="H25" s="27" t="s">
        <v>74</v>
      </c>
      <c r="I25" s="27" t="s">
        <v>75</v>
      </c>
    </row>
    <row r="26" spans="1:13" ht="75" x14ac:dyDescent="0.25">
      <c r="A26" s="11" t="s">
        <v>30</v>
      </c>
      <c r="B26" s="11"/>
      <c r="C26" s="11" t="s">
        <v>2</v>
      </c>
      <c r="D26" s="11" t="s">
        <v>3</v>
      </c>
      <c r="E26" s="11" t="s">
        <v>57</v>
      </c>
      <c r="F26" s="38" t="s">
        <v>106</v>
      </c>
      <c r="G26" s="17" t="s">
        <v>107</v>
      </c>
      <c r="H26" s="17" t="s">
        <v>65</v>
      </c>
      <c r="I26" s="10" t="s">
        <v>112</v>
      </c>
    </row>
    <row r="27" spans="1:13" x14ac:dyDescent="0.25">
      <c r="A27" s="14" t="s">
        <v>100</v>
      </c>
      <c r="B27" s="14" t="s">
        <v>102</v>
      </c>
      <c r="C27" s="14" t="s">
        <v>10</v>
      </c>
      <c r="D27" s="14" t="s">
        <v>11</v>
      </c>
      <c r="E27" s="14" t="s">
        <v>99</v>
      </c>
      <c r="F27" s="72">
        <v>0.02</v>
      </c>
      <c r="G27" s="44">
        <f>(F27*SUM(G8:G9)+F31*SUM(G12:G13))/SUM(G8:G9,G12:G13)</f>
        <v>4.7411052217657547E-2</v>
      </c>
      <c r="H27" s="49">
        <f>(G27*SUM(I8,I12)+G35*SUM(I16,I20))/SUM(I8,I12,I16,I20)</f>
        <v>7.3007918943101421E-2</v>
      </c>
      <c r="I27" s="81">
        <f>SUM(H27:H28)</f>
        <v>1.0000000000000002</v>
      </c>
      <c r="M27" s="79"/>
    </row>
    <row r="28" spans="1:13" x14ac:dyDescent="0.25">
      <c r="A28" s="14"/>
      <c r="B28" s="14"/>
      <c r="C28" s="14"/>
      <c r="D28" s="14"/>
      <c r="E28" s="14" t="s">
        <v>63</v>
      </c>
      <c r="F28" s="77">
        <v>0.98</v>
      </c>
      <c r="G28" s="44">
        <f>(F28*SUM(G8:G9)+F32*SUM(G12:G13))/SUM(G8:G9,G12:G13)</f>
        <v>0.9525889477823426</v>
      </c>
      <c r="H28" s="49">
        <f>(G28*SUM(I8,I12)+G36*SUM(I16,I20))/SUM(I8,I12,I16,I20)</f>
        <v>0.92699208105689879</v>
      </c>
      <c r="I28" s="81"/>
      <c r="L28" s="8"/>
      <c r="M28" s="79"/>
    </row>
    <row r="29" spans="1:13" x14ac:dyDescent="0.25">
      <c r="A29" s="14"/>
      <c r="B29" s="14"/>
      <c r="C29" s="14" t="s">
        <v>10</v>
      </c>
      <c r="D29" s="14" t="s">
        <v>12</v>
      </c>
      <c r="E29" s="14" t="s">
        <v>99</v>
      </c>
      <c r="F29" s="45">
        <v>0.15</v>
      </c>
      <c r="G29" s="44">
        <f>(F29*SUM(G10:G11)+F33*SUM(G14:G15))/SUM(G10:G11,G14:G15)</f>
        <v>0.1770023614140333</v>
      </c>
      <c r="H29" s="49">
        <f>(G29*SUM(I10,I14)+G37*SUM(I18,I22))/SUM(I10,I14,I18,I22)</f>
        <v>0.1316288775560015</v>
      </c>
      <c r="I29" s="81">
        <f>SUM(H29:H30)</f>
        <v>1</v>
      </c>
      <c r="M29" s="79"/>
    </row>
    <row r="30" spans="1:13" x14ac:dyDescent="0.25">
      <c r="A30" s="14"/>
      <c r="B30" s="14"/>
      <c r="C30" s="14"/>
      <c r="D30" s="14"/>
      <c r="E30" s="14" t="s">
        <v>63</v>
      </c>
      <c r="F30" s="45">
        <v>0.85</v>
      </c>
      <c r="G30" s="44">
        <f>(F30*SUM(G10:G11)+F34*SUM(G14:G15))/SUM(G10:G11,G14:G15)</f>
        <v>0.82299763858596675</v>
      </c>
      <c r="H30" s="51">
        <f>(G30*SUM(I10,I14)+G38*SUM(I18,I22))/SUM(I10,I14,I18,I22)</f>
        <v>0.8683711224439985</v>
      </c>
      <c r="I30" s="81"/>
      <c r="L30" s="8"/>
      <c r="M30" s="79"/>
    </row>
    <row r="31" spans="1:13" x14ac:dyDescent="0.25">
      <c r="A31" s="14"/>
      <c r="B31" s="14" t="s">
        <v>103</v>
      </c>
      <c r="C31" s="14" t="s">
        <v>10</v>
      </c>
      <c r="D31" s="14" t="s">
        <v>11</v>
      </c>
      <c r="E31" s="14" t="s">
        <v>99</v>
      </c>
      <c r="F31" s="45">
        <v>0.11</v>
      </c>
      <c r="G31" s="44"/>
      <c r="H31" s="51"/>
      <c r="I31" s="81"/>
      <c r="M31" s="79"/>
    </row>
    <row r="32" spans="1:13" x14ac:dyDescent="0.25">
      <c r="A32" s="14"/>
      <c r="B32" s="14"/>
      <c r="C32" s="14"/>
      <c r="D32" s="14"/>
      <c r="E32" s="14" t="s">
        <v>63</v>
      </c>
      <c r="F32" s="45">
        <v>0.89</v>
      </c>
      <c r="G32" s="44"/>
      <c r="H32" s="51"/>
      <c r="I32" s="81"/>
    </row>
    <row r="33" spans="1:13" x14ac:dyDescent="0.25">
      <c r="A33" s="14"/>
      <c r="B33" s="14"/>
      <c r="C33" s="14" t="s">
        <v>10</v>
      </c>
      <c r="D33" s="14" t="s">
        <v>12</v>
      </c>
      <c r="E33" s="14" t="s">
        <v>99</v>
      </c>
      <c r="F33" s="48">
        <v>0.33</v>
      </c>
      <c r="G33" s="44"/>
      <c r="H33" s="44"/>
      <c r="I33" s="81"/>
      <c r="M33" s="79"/>
    </row>
    <row r="34" spans="1:13" x14ac:dyDescent="0.25">
      <c r="A34" s="14"/>
      <c r="B34" s="14"/>
      <c r="C34" s="14"/>
      <c r="D34" s="14"/>
      <c r="E34" s="14" t="s">
        <v>63</v>
      </c>
      <c r="F34" s="48">
        <v>0.67</v>
      </c>
      <c r="G34" s="44"/>
      <c r="H34" s="44"/>
      <c r="I34" s="81"/>
    </row>
    <row r="35" spans="1:13" x14ac:dyDescent="0.25">
      <c r="A35" s="14" t="s">
        <v>101</v>
      </c>
      <c r="B35" s="14" t="s">
        <v>104</v>
      </c>
      <c r="C35" s="14" t="s">
        <v>10</v>
      </c>
      <c r="D35" s="14" t="s">
        <v>11</v>
      </c>
      <c r="E35" s="14" t="s">
        <v>99</v>
      </c>
      <c r="F35" s="48">
        <v>0.1</v>
      </c>
      <c r="G35" s="44">
        <f>(F35*SUM(G16:G17)+F39*SUM(G20:G21))/SUM(G16:G17,G20:G21)</f>
        <v>0.10611206139451172</v>
      </c>
      <c r="H35" s="49">
        <v>7.3007918943101421E-2</v>
      </c>
      <c r="I35" s="81">
        <f>SUM(H35:H36)</f>
        <v>1.0000000000000002</v>
      </c>
      <c r="M35" s="79"/>
    </row>
    <row r="36" spans="1:13" x14ac:dyDescent="0.25">
      <c r="A36" s="14"/>
      <c r="B36" s="14"/>
      <c r="C36" s="14"/>
      <c r="D36" s="14"/>
      <c r="E36" s="14" t="s">
        <v>63</v>
      </c>
      <c r="F36" s="48">
        <v>0.9</v>
      </c>
      <c r="G36" s="44">
        <f>(F36*SUM(G16:G17)+F40*SUM(G20:G21))/SUM(G16:G17,G20:G21)</f>
        <v>0.89388793860548832</v>
      </c>
      <c r="H36" s="44">
        <v>0.92699208105689879</v>
      </c>
      <c r="I36" s="81"/>
    </row>
    <row r="37" spans="1:13" x14ac:dyDescent="0.25">
      <c r="A37" s="14"/>
      <c r="B37" s="14"/>
      <c r="C37" s="14" t="s">
        <v>10</v>
      </c>
      <c r="D37" s="14" t="s">
        <v>12</v>
      </c>
      <c r="E37" s="14" t="s">
        <v>99</v>
      </c>
      <c r="F37" s="48">
        <v>4.8000000000000001E-2</v>
      </c>
      <c r="G37" s="44">
        <f>(F37*SUM(G18:G19)+F41*SUM(G22:G23))/SUM(G18:G19,G22:G23)</f>
        <v>8.3414922127709568E-2</v>
      </c>
      <c r="H37" s="44">
        <v>0.1316288775560015</v>
      </c>
      <c r="I37" s="81">
        <f>SUM(H37:H38)</f>
        <v>1</v>
      </c>
      <c r="M37" s="79"/>
    </row>
    <row r="38" spans="1:13" x14ac:dyDescent="0.25">
      <c r="A38" s="14"/>
      <c r="B38" s="14"/>
      <c r="C38" s="14"/>
      <c r="D38" s="14"/>
      <c r="E38" s="14" t="s">
        <v>63</v>
      </c>
      <c r="F38" s="48">
        <v>0.95199999999999996</v>
      </c>
      <c r="G38" s="44">
        <f>(F38*SUM(G18:G19)+F42*SUM(G22:G23))/SUM(G18:G19,G22:G23)</f>
        <v>0.91658507787229038</v>
      </c>
      <c r="H38" s="49">
        <v>0.8683711224439985</v>
      </c>
      <c r="I38" s="81"/>
    </row>
    <row r="39" spans="1:13" x14ac:dyDescent="0.25">
      <c r="A39" s="14"/>
      <c r="B39" s="14" t="s">
        <v>105</v>
      </c>
      <c r="C39" s="14" t="s">
        <v>10</v>
      </c>
      <c r="D39" s="14" t="s">
        <v>11</v>
      </c>
      <c r="E39" s="14" t="s">
        <v>99</v>
      </c>
      <c r="F39" s="48">
        <v>0.125</v>
      </c>
      <c r="G39" s="44"/>
      <c r="H39" s="49"/>
      <c r="I39" s="81"/>
    </row>
    <row r="40" spans="1:13" x14ac:dyDescent="0.25">
      <c r="A40" s="14"/>
      <c r="B40" s="14"/>
      <c r="C40" s="14"/>
      <c r="D40" s="14"/>
      <c r="E40" s="14" t="s">
        <v>63</v>
      </c>
      <c r="F40" s="48">
        <v>0.875</v>
      </c>
      <c r="G40" s="44"/>
      <c r="H40" s="49"/>
      <c r="I40" s="81"/>
    </row>
    <row r="41" spans="1:13" x14ac:dyDescent="0.25">
      <c r="A41" s="14"/>
      <c r="B41" s="14"/>
      <c r="C41" s="14" t="s">
        <v>10</v>
      </c>
      <c r="D41" s="14" t="s">
        <v>12</v>
      </c>
      <c r="E41" s="14" t="s">
        <v>99</v>
      </c>
      <c r="F41" s="48">
        <v>0.22</v>
      </c>
      <c r="G41" s="44"/>
      <c r="H41" s="49"/>
      <c r="I41" s="81"/>
    </row>
    <row r="42" spans="1:13" x14ac:dyDescent="0.25">
      <c r="A42" s="14"/>
      <c r="B42" s="14"/>
      <c r="C42" s="14"/>
      <c r="D42" s="14"/>
      <c r="E42" s="14" t="s">
        <v>63</v>
      </c>
      <c r="F42" s="48">
        <v>0.78</v>
      </c>
      <c r="G42" s="44"/>
      <c r="H42" s="49"/>
      <c r="I42" s="54"/>
    </row>
    <row r="43" spans="1:13" x14ac:dyDescent="0.25">
      <c r="A43" s="14"/>
      <c r="B43" s="14"/>
      <c r="C43" s="14"/>
      <c r="D43" s="14"/>
      <c r="E43" s="16"/>
      <c r="F43" s="22"/>
      <c r="G43" s="14"/>
    </row>
    <row r="44" spans="1:13" x14ac:dyDescent="0.25">
      <c r="A44" s="28" t="s">
        <v>129</v>
      </c>
      <c r="B44" s="28"/>
      <c r="C44" s="29"/>
      <c r="D44" s="29"/>
      <c r="E44" s="29"/>
      <c r="F44" s="29"/>
      <c r="G44" s="29"/>
      <c r="H44" s="27" t="s">
        <v>76</v>
      </c>
      <c r="I44" s="14"/>
    </row>
    <row r="45" spans="1:13" ht="45" x14ac:dyDescent="0.25">
      <c r="A45" s="11" t="s">
        <v>30</v>
      </c>
      <c r="B45" s="11"/>
      <c r="C45" s="11" t="s">
        <v>2</v>
      </c>
      <c r="D45" s="11" t="s">
        <v>3</v>
      </c>
      <c r="E45" s="11" t="s">
        <v>27</v>
      </c>
      <c r="F45" s="11" t="s">
        <v>111</v>
      </c>
      <c r="G45" s="11" t="s">
        <v>113</v>
      </c>
      <c r="H45" s="17" t="s">
        <v>29</v>
      </c>
      <c r="I45" s="14"/>
    </row>
    <row r="46" spans="1:13" x14ac:dyDescent="0.25">
      <c r="A46" s="14" t="s">
        <v>100</v>
      </c>
      <c r="B46" s="14" t="s">
        <v>133</v>
      </c>
      <c r="C46" s="14" t="s">
        <v>10</v>
      </c>
      <c r="D46" s="14" t="s">
        <v>11</v>
      </c>
      <c r="E46" s="50">
        <f>SUM(I8,I12)/SUM(I8:I15)</f>
        <v>0.37578012754939799</v>
      </c>
      <c r="F46" s="80">
        <f>SUM(I8,I12)</f>
        <v>4637061.4520999994</v>
      </c>
      <c r="G46" s="76">
        <f>SUM(J8,J12)</f>
        <v>153804.3848</v>
      </c>
      <c r="H46" s="49">
        <f>SUM(F46,F48)/SUM(F46:F49)</f>
        <v>0.35481338298761261</v>
      </c>
      <c r="I46" s="14"/>
    </row>
    <row r="47" spans="1:13" x14ac:dyDescent="0.25">
      <c r="A47" s="14"/>
      <c r="B47" s="14"/>
      <c r="C47" s="14" t="s">
        <v>10</v>
      </c>
      <c r="D47" s="14" t="s">
        <v>12</v>
      </c>
      <c r="E47" s="50">
        <f>SUM(I10,I14)/SUM(I8:I15)</f>
        <v>0.62421987245060195</v>
      </c>
      <c r="F47" s="80">
        <f>SUM(I10,I14)</f>
        <v>7702764.7178999996</v>
      </c>
      <c r="G47" s="76">
        <f>SUM(J10,J14)</f>
        <v>308329.09519999998</v>
      </c>
      <c r="H47" s="49">
        <f>SUM(F47,F49)/SUM(F46:F49)</f>
        <v>0.64518661701238733</v>
      </c>
      <c r="I47" s="50"/>
    </row>
    <row r="48" spans="1:13" x14ac:dyDescent="0.25">
      <c r="A48" s="14" t="s">
        <v>101</v>
      </c>
      <c r="B48" s="14" t="s">
        <v>133</v>
      </c>
      <c r="C48" s="14" t="s">
        <v>10</v>
      </c>
      <c r="D48" s="14" t="s">
        <v>11</v>
      </c>
      <c r="E48" s="50">
        <f>SUM(I16,I20)/SUM(I16:I22)</f>
        <v>0.33093343498444083</v>
      </c>
      <c r="F48" s="80">
        <f>SUM(I16,I20)</f>
        <v>3585480.1</v>
      </c>
      <c r="G48" s="80">
        <f>SUM(J16,J20)</f>
        <v>85861.28</v>
      </c>
      <c r="H48" s="22"/>
      <c r="I48" s="14"/>
    </row>
    <row r="49" spans="1:11" x14ac:dyDescent="0.25">
      <c r="A49" s="14"/>
      <c r="B49" s="14"/>
      <c r="C49" s="14" t="s">
        <v>10</v>
      </c>
      <c r="D49" s="14" t="s">
        <v>12</v>
      </c>
      <c r="E49" s="50">
        <f>SUM(I18,I22)/SUM(I16:I23)</f>
        <v>0.66906656501555917</v>
      </c>
      <c r="F49" s="80">
        <f>SUM(I18,I22)</f>
        <v>7248964.9000000004</v>
      </c>
      <c r="G49" s="80">
        <f>SUM(J18,J22)</f>
        <v>181952.72</v>
      </c>
      <c r="H49" s="22"/>
      <c r="I49" s="14"/>
    </row>
    <row r="50" spans="1:11" x14ac:dyDescent="0.25">
      <c r="A50" s="14"/>
      <c r="B50" s="14"/>
      <c r="C50" s="14"/>
      <c r="E50" s="7"/>
      <c r="F50" s="22"/>
      <c r="G50" s="14"/>
      <c r="I50" s="14"/>
    </row>
    <row r="51" spans="1:11" x14ac:dyDescent="0.25">
      <c r="A51" s="14"/>
      <c r="B51" s="14"/>
      <c r="C51" s="14"/>
      <c r="E51" s="7"/>
      <c r="F51" s="22"/>
      <c r="G51" s="14"/>
      <c r="I51" s="14"/>
    </row>
    <row r="52" spans="1:11" x14ac:dyDescent="0.25">
      <c r="A52" s="28" t="s">
        <v>37</v>
      </c>
      <c r="B52" s="28"/>
      <c r="C52" s="29"/>
      <c r="D52" s="29"/>
      <c r="E52" s="27" t="s">
        <v>80</v>
      </c>
      <c r="F52" s="27" t="s">
        <v>81</v>
      </c>
      <c r="G52" s="27" t="s">
        <v>82</v>
      </c>
      <c r="H52" s="27" t="s">
        <v>83</v>
      </c>
      <c r="I52" s="27" t="s">
        <v>87</v>
      </c>
      <c r="J52" s="27" t="s">
        <v>88</v>
      </c>
      <c r="K52" s="64"/>
    </row>
    <row r="53" spans="1:11" ht="60" customHeight="1" x14ac:dyDescent="0.25">
      <c r="A53" s="11" t="s">
        <v>30</v>
      </c>
      <c r="B53" s="11"/>
      <c r="C53" s="11" t="s">
        <v>2</v>
      </c>
      <c r="D53" s="11" t="s">
        <v>3</v>
      </c>
      <c r="E53" s="17" t="s">
        <v>117</v>
      </c>
      <c r="F53" s="52" t="s">
        <v>116</v>
      </c>
      <c r="G53" s="52" t="s">
        <v>68</v>
      </c>
      <c r="H53" s="52" t="s">
        <v>118</v>
      </c>
      <c r="I53" s="52" t="s">
        <v>70</v>
      </c>
      <c r="J53" s="52" t="s">
        <v>119</v>
      </c>
      <c r="K53" s="66" t="s">
        <v>114</v>
      </c>
    </row>
    <row r="54" spans="1:11" ht="42" customHeight="1" x14ac:dyDescent="0.25">
      <c r="A54" s="11"/>
      <c r="B54" s="11"/>
      <c r="C54" s="11"/>
      <c r="D54" s="56"/>
      <c r="E54" s="9" t="s">
        <v>77</v>
      </c>
      <c r="F54" s="43" t="s">
        <v>85</v>
      </c>
      <c r="G54" s="43" t="s">
        <v>84</v>
      </c>
      <c r="H54" s="43" t="s">
        <v>86</v>
      </c>
      <c r="I54" s="43" t="s">
        <v>92</v>
      </c>
      <c r="J54" s="43" t="s">
        <v>89</v>
      </c>
      <c r="K54" s="67" t="s">
        <v>91</v>
      </c>
    </row>
    <row r="55" spans="1:11" x14ac:dyDescent="0.25">
      <c r="A55" s="14" t="s">
        <v>8</v>
      </c>
      <c r="B55" s="14" t="s">
        <v>133</v>
      </c>
      <c r="C55" s="14" t="s">
        <v>10</v>
      </c>
      <c r="D55" s="14" t="s">
        <v>11</v>
      </c>
      <c r="E55" s="55">
        <f>SUMPRODUCT(H8:H9,H27:H28)/I27</f>
        <v>1.4777137339555979</v>
      </c>
      <c r="F55" s="44">
        <f>SUMPRODUCT(E55:E56,$H$46:$H$47)</f>
        <v>1.6969533572042723</v>
      </c>
      <c r="G55" s="44">
        <f>(G46/F46)*E55</f>
        <v>4.9013551817093812E-2</v>
      </c>
      <c r="H55" s="44">
        <f>SUMPRODUCT(G55:G56,$H$46:$H$47)</f>
        <v>6.4329558687865745E-2</v>
      </c>
      <c r="I55" s="44">
        <f>F55+H55</f>
        <v>1.7612829158921381</v>
      </c>
      <c r="J55" s="44">
        <f>AVERAGE(I55:I57)</f>
        <v>1.3698249548118446</v>
      </c>
      <c r="K55" s="68">
        <f>I55/J55</f>
        <v>1.2857722511954552</v>
      </c>
    </row>
    <row r="56" spans="1:11" x14ac:dyDescent="0.25">
      <c r="A56" s="14"/>
      <c r="B56" s="14"/>
      <c r="C56" s="14" t="s">
        <v>10</v>
      </c>
      <c r="D56" s="14" t="s">
        <v>12</v>
      </c>
      <c r="E56" s="55">
        <f>SUMPRODUCT(H10:H11,H29:H30)/I29</f>
        <v>1.8175218103597386</v>
      </c>
      <c r="F56" s="44"/>
      <c r="G56" s="44">
        <f t="shared" ref="G56:G58" si="0">(G47/F47)*E56</f>
        <v>7.2752430564601789E-2</v>
      </c>
      <c r="H56" s="44"/>
      <c r="I56" s="42"/>
      <c r="K56" s="68"/>
    </row>
    <row r="57" spans="1:11" x14ac:dyDescent="0.25">
      <c r="A57" s="14" t="s">
        <v>13</v>
      </c>
      <c r="B57" s="14" t="s">
        <v>133</v>
      </c>
      <c r="C57" s="14" t="s">
        <v>10</v>
      </c>
      <c r="D57" s="14" t="s">
        <v>11</v>
      </c>
      <c r="E57" s="55">
        <f>SUMPRODUCT(H16:H17,H35:H36)/I35</f>
        <v>0.62104193220471926</v>
      </c>
      <c r="F57" s="44">
        <f>SUMPRODUCT(E57:E58,$H$46:$H$47)</f>
        <v>0.95465876500097813</v>
      </c>
      <c r="G57" s="44">
        <f t="shared" si="0"/>
        <v>1.4872054437778198E-2</v>
      </c>
      <c r="H57" s="44">
        <f>SUMPRODUCT(G57:G58,$H$46:$H$47)</f>
        <v>2.3708228730572895E-2</v>
      </c>
      <c r="I57" s="44">
        <f>F57+H57</f>
        <v>0.978366993731551</v>
      </c>
      <c r="K57" s="68">
        <f>I57/J55</f>
        <v>0.71422774880454476</v>
      </c>
    </row>
    <row r="58" spans="1:11" x14ac:dyDescent="0.25">
      <c r="A58" s="14"/>
      <c r="B58" s="14"/>
      <c r="C58" s="14" t="s">
        <v>10</v>
      </c>
      <c r="D58" s="14" t="s">
        <v>12</v>
      </c>
      <c r="E58" s="55">
        <f>SUMPRODUCT(H18:H19,H37:H38)/I37</f>
        <v>1.1381277241281644</v>
      </c>
      <c r="F58" s="44"/>
      <c r="G58" s="44">
        <f t="shared" si="0"/>
        <v>2.85675869547291E-2</v>
      </c>
      <c r="H58" s="44"/>
      <c r="I58" s="42"/>
      <c r="K58" s="69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opLeftCell="A20" workbookViewId="0">
      <selection activeCell="G18" sqref="G18"/>
    </sheetView>
  </sheetViews>
  <sheetFormatPr defaultRowHeight="15" x14ac:dyDescent="0.25"/>
  <cols>
    <col min="1" max="1" width="18" style="41" customWidth="1"/>
    <col min="2" max="2" width="25.7109375" style="41" customWidth="1"/>
    <col min="3" max="3" width="12" style="41" customWidth="1"/>
    <col min="4" max="4" width="9.85546875" style="41" customWidth="1"/>
    <col min="5" max="5" width="17.85546875" style="41" customWidth="1"/>
    <col min="6" max="6" width="16.42578125" style="41" customWidth="1"/>
    <col min="7" max="7" width="13.140625" style="41" customWidth="1"/>
    <col min="8" max="8" width="15.28515625" style="41" customWidth="1"/>
    <col min="9" max="9" width="15.85546875" style="41" customWidth="1"/>
    <col min="10" max="10" width="16.42578125" style="41" customWidth="1"/>
    <col min="11" max="11" width="12.85546875" style="41" customWidth="1"/>
    <col min="12" max="12" width="14.28515625" style="41" customWidth="1"/>
    <col min="13" max="13" width="12.7109375" style="41" bestFit="1" customWidth="1"/>
    <col min="14" max="16384" width="9.140625" style="41"/>
  </cols>
  <sheetData>
    <row r="1" spans="1:13" ht="21" x14ac:dyDescent="0.35">
      <c r="A1" s="13" t="s">
        <v>115</v>
      </c>
      <c r="B1" s="13"/>
      <c r="C1" s="3"/>
      <c r="D1" s="3"/>
      <c r="E1" s="3"/>
      <c r="F1" s="3"/>
      <c r="G1" s="3"/>
      <c r="H1" s="3"/>
      <c r="I1" s="3"/>
      <c r="J1" s="3"/>
    </row>
    <row r="2" spans="1:13" ht="18" customHeight="1" x14ac:dyDescent="0.25">
      <c r="A2" s="20" t="s">
        <v>31</v>
      </c>
      <c r="B2" s="20"/>
      <c r="C2" s="3"/>
      <c r="D2" s="3"/>
      <c r="E2" s="3"/>
      <c r="F2" s="3"/>
      <c r="G2" s="3"/>
      <c r="H2" s="3"/>
    </row>
    <row r="3" spans="1:13" ht="18" customHeight="1" x14ac:dyDescent="0.25">
      <c r="A3" s="23" t="s">
        <v>32</v>
      </c>
      <c r="B3" s="23"/>
      <c r="C3" s="3"/>
      <c r="D3" s="3"/>
      <c r="E3" s="3"/>
      <c r="F3" s="3"/>
      <c r="G3" s="3"/>
      <c r="H3" s="3"/>
    </row>
    <row r="4" spans="1:13" ht="18" customHeight="1" x14ac:dyDescent="0.25">
      <c r="A4" s="30" t="s">
        <v>125</v>
      </c>
      <c r="B4" s="30"/>
      <c r="C4" s="3"/>
      <c r="D4" s="3"/>
      <c r="E4" s="3"/>
      <c r="F4" s="3"/>
      <c r="G4" s="3"/>
      <c r="H4" s="3"/>
    </row>
    <row r="5" spans="1:13" ht="30.75" customHeight="1" x14ac:dyDescent="0.25">
      <c r="A5" s="23"/>
      <c r="B5" s="23"/>
      <c r="C5" s="3"/>
      <c r="D5" s="3"/>
      <c r="E5" s="3"/>
      <c r="F5" s="3"/>
      <c r="G5" s="3"/>
      <c r="H5" s="3"/>
    </row>
    <row r="6" spans="1:13" ht="17.25" customHeight="1" x14ac:dyDescent="0.25">
      <c r="A6" s="28" t="s">
        <v>126</v>
      </c>
      <c r="B6" s="28"/>
      <c r="C6" s="28"/>
      <c r="D6" s="28"/>
      <c r="E6" s="28"/>
      <c r="F6" s="29"/>
      <c r="G6" s="29"/>
      <c r="H6" s="27" t="s">
        <v>72</v>
      </c>
      <c r="I6" s="27" t="s">
        <v>78</v>
      </c>
      <c r="J6" s="27" t="s">
        <v>79</v>
      </c>
    </row>
    <row r="7" spans="1:13" ht="60.75" customHeight="1" x14ac:dyDescent="0.25">
      <c r="A7" s="11" t="s">
        <v>97</v>
      </c>
      <c r="B7" s="11" t="s">
        <v>98</v>
      </c>
      <c r="C7" s="11" t="s">
        <v>2</v>
      </c>
      <c r="D7" s="11" t="s">
        <v>3</v>
      </c>
      <c r="E7" s="11" t="s">
        <v>57</v>
      </c>
      <c r="F7" s="12" t="s">
        <v>109</v>
      </c>
      <c r="G7" s="11" t="s">
        <v>6</v>
      </c>
      <c r="H7" s="17" t="s">
        <v>108</v>
      </c>
      <c r="I7" s="10" t="s">
        <v>139</v>
      </c>
      <c r="J7" s="10" t="s">
        <v>140</v>
      </c>
    </row>
    <row r="8" spans="1:13" x14ac:dyDescent="0.25">
      <c r="A8" s="14" t="s">
        <v>100</v>
      </c>
      <c r="B8" s="14" t="s">
        <v>102</v>
      </c>
      <c r="C8" s="14" t="s">
        <v>10</v>
      </c>
      <c r="D8" s="14" t="s">
        <v>11</v>
      </c>
      <c r="E8" s="14" t="s">
        <v>124</v>
      </c>
      <c r="F8" s="70">
        <v>1.07</v>
      </c>
      <c r="G8" s="71">
        <v>32743.07</v>
      </c>
      <c r="H8" s="44">
        <f>(F8*G8+F10*G10)/SUM(G8,G10)</f>
        <v>1.4190810358778483</v>
      </c>
      <c r="I8" s="84">
        <f>SUM(G8,G10)</f>
        <v>127269.06</v>
      </c>
      <c r="J8" s="82">
        <v>0</v>
      </c>
      <c r="K8" s="74"/>
      <c r="L8" s="74"/>
      <c r="M8" s="75"/>
    </row>
    <row r="9" spans="1:13" x14ac:dyDescent="0.25">
      <c r="A9" s="14"/>
      <c r="B9" s="14"/>
      <c r="C9" s="14" t="s">
        <v>10</v>
      </c>
      <c r="D9" s="14" t="s">
        <v>12</v>
      </c>
      <c r="E9" s="14" t="s">
        <v>124</v>
      </c>
      <c r="F9" s="70">
        <v>1.036</v>
      </c>
      <c r="G9" s="71">
        <v>610697.82999999996</v>
      </c>
      <c r="H9" s="44">
        <f>(F9*G9+F11*G11)/SUM(G9,G11)</f>
        <v>1.0359675213365074</v>
      </c>
      <c r="I9" s="84">
        <f>SUM(G9,G11)</f>
        <v>611249.28999999992</v>
      </c>
      <c r="J9" s="82">
        <v>0</v>
      </c>
      <c r="K9" s="14"/>
      <c r="L9" s="14"/>
    </row>
    <row r="10" spans="1:13" x14ac:dyDescent="0.25">
      <c r="A10" s="14"/>
      <c r="B10" s="14" t="s">
        <v>103</v>
      </c>
      <c r="C10" s="14" t="s">
        <v>10</v>
      </c>
      <c r="D10" s="14" t="s">
        <v>11</v>
      </c>
      <c r="E10" s="14" t="s">
        <v>124</v>
      </c>
      <c r="F10" s="70">
        <v>1.54</v>
      </c>
      <c r="G10" s="71">
        <v>94525.99</v>
      </c>
      <c r="H10" s="78"/>
      <c r="I10" s="84"/>
      <c r="J10" s="82"/>
      <c r="K10" s="74"/>
      <c r="L10" s="74"/>
    </row>
    <row r="11" spans="1:13" x14ac:dyDescent="0.25">
      <c r="A11" s="14"/>
      <c r="B11" s="14"/>
      <c r="C11" s="14" t="s">
        <v>10</v>
      </c>
      <c r="D11" s="14" t="s">
        <v>12</v>
      </c>
      <c r="E11" s="14" t="s">
        <v>124</v>
      </c>
      <c r="F11" s="70">
        <v>1</v>
      </c>
      <c r="G11" s="71">
        <v>551.46</v>
      </c>
      <c r="H11" s="78"/>
      <c r="I11" s="84"/>
      <c r="J11" s="82"/>
      <c r="K11" s="15"/>
      <c r="L11" s="16"/>
    </row>
    <row r="12" spans="1:13" x14ac:dyDescent="0.25">
      <c r="A12" s="14" t="s">
        <v>101</v>
      </c>
      <c r="B12" s="14" t="s">
        <v>104</v>
      </c>
      <c r="C12" s="14" t="s">
        <v>10</v>
      </c>
      <c r="D12" s="14" t="s">
        <v>11</v>
      </c>
      <c r="E12" s="14" t="s">
        <v>124</v>
      </c>
      <c r="F12" s="70">
        <v>0.64500000000000002</v>
      </c>
      <c r="G12" s="71">
        <v>2103</v>
      </c>
      <c r="H12" s="44">
        <f>(F12*G12+F14*G14)/SUM(G12,G14)</f>
        <v>1.2393703334557344</v>
      </c>
      <c r="I12" s="84">
        <f>SUM(G12,G14)</f>
        <v>5147.01</v>
      </c>
      <c r="J12" s="82">
        <v>0</v>
      </c>
      <c r="K12" s="74"/>
      <c r="L12" s="74"/>
    </row>
    <row r="13" spans="1:13" x14ac:dyDescent="0.25">
      <c r="A13" s="14"/>
      <c r="B13" s="14"/>
      <c r="C13" s="14" t="s">
        <v>10</v>
      </c>
      <c r="D13" s="14" t="s">
        <v>12</v>
      </c>
      <c r="E13" s="14" t="s">
        <v>124</v>
      </c>
      <c r="F13" s="70">
        <v>0.96199999999999997</v>
      </c>
      <c r="G13" s="71">
        <v>25477.43</v>
      </c>
      <c r="H13" s="44">
        <f>(F13*G13+F15*G15)/SUM(G13,G15)</f>
        <v>0.97553699316627152</v>
      </c>
      <c r="I13" s="84">
        <f>SUM(G13,G15)</f>
        <v>29560.73</v>
      </c>
      <c r="J13" s="82">
        <v>0</v>
      </c>
      <c r="K13" s="14"/>
      <c r="L13" s="14"/>
    </row>
    <row r="14" spans="1:13" x14ac:dyDescent="0.25">
      <c r="A14" s="14"/>
      <c r="B14" s="14" t="s">
        <v>123</v>
      </c>
      <c r="C14" s="14" t="s">
        <v>10</v>
      </c>
      <c r="D14" s="14" t="s">
        <v>11</v>
      </c>
      <c r="E14" s="14" t="s">
        <v>124</v>
      </c>
      <c r="F14" s="70">
        <v>1.65</v>
      </c>
      <c r="G14" s="71">
        <v>3044.01</v>
      </c>
      <c r="H14" s="44"/>
      <c r="I14" s="84"/>
      <c r="J14" s="82"/>
      <c r="K14" s="74"/>
      <c r="L14" s="74"/>
    </row>
    <row r="15" spans="1:13" x14ac:dyDescent="0.25">
      <c r="A15" s="14"/>
      <c r="B15" s="14"/>
      <c r="C15" s="14" t="s">
        <v>10</v>
      </c>
      <c r="D15" s="14" t="s">
        <v>12</v>
      </c>
      <c r="E15" s="14" t="s">
        <v>124</v>
      </c>
      <c r="F15" s="70">
        <v>1.06</v>
      </c>
      <c r="G15" s="71">
        <v>4083.3</v>
      </c>
      <c r="H15" s="78"/>
      <c r="I15" s="84"/>
      <c r="J15" s="82"/>
      <c r="K15" s="15"/>
      <c r="L15" s="16"/>
    </row>
    <row r="17" spans="1:13" x14ac:dyDescent="0.25">
      <c r="A17" s="28" t="s">
        <v>130</v>
      </c>
      <c r="B17" s="28"/>
      <c r="C17" s="29"/>
      <c r="D17" s="29"/>
      <c r="E17" s="29"/>
      <c r="F17" s="29"/>
      <c r="G17" s="29"/>
      <c r="H17" s="27" t="s">
        <v>74</v>
      </c>
      <c r="I17" s="27" t="s">
        <v>75</v>
      </c>
    </row>
    <row r="18" spans="1:13" ht="75" x14ac:dyDescent="0.25">
      <c r="A18" s="11" t="s">
        <v>30</v>
      </c>
      <c r="B18" s="11"/>
      <c r="C18" s="11" t="s">
        <v>2</v>
      </c>
      <c r="D18" s="11" t="s">
        <v>3</v>
      </c>
      <c r="E18" s="11" t="s">
        <v>57</v>
      </c>
      <c r="F18" s="38" t="s">
        <v>106</v>
      </c>
      <c r="G18" s="17" t="s">
        <v>107</v>
      </c>
      <c r="H18" s="17" t="s">
        <v>65</v>
      </c>
      <c r="I18" s="10" t="s">
        <v>112</v>
      </c>
    </row>
    <row r="19" spans="1:13" x14ac:dyDescent="0.25">
      <c r="A19" s="14" t="s">
        <v>100</v>
      </c>
      <c r="B19" s="14" t="s">
        <v>102</v>
      </c>
      <c r="C19" s="14" t="s">
        <v>10</v>
      </c>
      <c r="D19" s="14" t="s">
        <v>11</v>
      </c>
      <c r="E19" s="14" t="s">
        <v>124</v>
      </c>
      <c r="F19" s="45">
        <v>1</v>
      </c>
      <c r="G19" s="44">
        <f>(F19*SUM(G8:G8)+F21*SUM(G10:G10))/SUM(G8:G8,G10:G10)</f>
        <v>1</v>
      </c>
      <c r="H19" s="49">
        <f>(G19*I8+G23*I12)/SUM(I8,I12)</f>
        <v>1</v>
      </c>
      <c r="I19" s="81">
        <f>SUM(H19)</f>
        <v>1</v>
      </c>
      <c r="M19" s="79"/>
    </row>
    <row r="20" spans="1:13" x14ac:dyDescent="0.25">
      <c r="A20" s="14"/>
      <c r="B20" s="14"/>
      <c r="C20" s="14" t="s">
        <v>10</v>
      </c>
      <c r="D20" s="14" t="s">
        <v>12</v>
      </c>
      <c r="E20" s="14" t="s">
        <v>124</v>
      </c>
      <c r="F20" s="45">
        <v>1</v>
      </c>
      <c r="G20" s="44">
        <f>(F20*SUM(G9:G9)+F22*SUM(G11:G11))/SUM(G9:G9,G11:G11)</f>
        <v>1</v>
      </c>
      <c r="H20" s="83">
        <f>(G20*I9+G24*I13)/SUM(I9,I13)</f>
        <v>1</v>
      </c>
      <c r="I20" s="81">
        <f>SUM(H20)</f>
        <v>1</v>
      </c>
      <c r="M20" s="79"/>
    </row>
    <row r="21" spans="1:13" x14ac:dyDescent="0.25">
      <c r="A21" s="14"/>
      <c r="B21" s="14" t="s">
        <v>103</v>
      </c>
      <c r="C21" s="14" t="s">
        <v>10</v>
      </c>
      <c r="D21" s="14" t="s">
        <v>11</v>
      </c>
      <c r="E21" s="14" t="s">
        <v>124</v>
      </c>
      <c r="F21" s="45">
        <v>1</v>
      </c>
      <c r="G21" s="44"/>
      <c r="H21" s="51"/>
      <c r="I21" s="81"/>
      <c r="M21" s="79"/>
    </row>
    <row r="22" spans="1:13" x14ac:dyDescent="0.25">
      <c r="A22" s="14"/>
      <c r="B22" s="14"/>
      <c r="C22" s="14" t="s">
        <v>10</v>
      </c>
      <c r="D22" s="14" t="s">
        <v>12</v>
      </c>
      <c r="E22" s="14" t="s">
        <v>124</v>
      </c>
      <c r="F22" s="48">
        <v>1</v>
      </c>
      <c r="G22" s="44"/>
      <c r="H22" s="44"/>
      <c r="I22" s="81"/>
      <c r="M22" s="79"/>
    </row>
    <row r="23" spans="1:13" x14ac:dyDescent="0.25">
      <c r="A23" s="14" t="s">
        <v>101</v>
      </c>
      <c r="B23" s="14" t="s">
        <v>104</v>
      </c>
      <c r="C23" s="14" t="s">
        <v>10</v>
      </c>
      <c r="D23" s="14" t="s">
        <v>11</v>
      </c>
      <c r="E23" s="14" t="s">
        <v>124</v>
      </c>
      <c r="F23" s="48">
        <v>1</v>
      </c>
      <c r="G23" s="44">
        <f>(F23*SUM(G12:G12)+F25*SUM(G14:G14))/SUM(G12:G12,G14:G14)</f>
        <v>1</v>
      </c>
      <c r="H23" s="49">
        <v>1</v>
      </c>
      <c r="I23" s="81">
        <f>SUM(H23)</f>
        <v>1</v>
      </c>
      <c r="M23" s="79"/>
    </row>
    <row r="24" spans="1:13" x14ac:dyDescent="0.25">
      <c r="A24" s="14"/>
      <c r="B24" s="14"/>
      <c r="C24" s="14" t="s">
        <v>10</v>
      </c>
      <c r="D24" s="14" t="s">
        <v>12</v>
      </c>
      <c r="E24" s="14" t="s">
        <v>124</v>
      </c>
      <c r="F24" s="48">
        <v>1</v>
      </c>
      <c r="G24" s="44">
        <f>(F24*SUM(G13:G13)+F26*SUM(G15:G15))/SUM(G13:G13,G15:G15)</f>
        <v>1</v>
      </c>
      <c r="H24" s="55">
        <v>1</v>
      </c>
      <c r="I24" s="81">
        <f>SUM(H24)</f>
        <v>1</v>
      </c>
      <c r="M24" s="79"/>
    </row>
    <row r="25" spans="1:13" x14ac:dyDescent="0.25">
      <c r="A25" s="14"/>
      <c r="B25" s="14" t="s">
        <v>123</v>
      </c>
      <c r="C25" s="14" t="s">
        <v>10</v>
      </c>
      <c r="D25" s="14" t="s">
        <v>11</v>
      </c>
      <c r="E25" s="14" t="s">
        <v>124</v>
      </c>
      <c r="F25" s="48">
        <v>1</v>
      </c>
      <c r="G25" s="44"/>
      <c r="H25" s="49"/>
      <c r="I25" s="81"/>
    </row>
    <row r="26" spans="1:13" x14ac:dyDescent="0.25">
      <c r="A26" s="14"/>
      <c r="B26" s="14"/>
      <c r="C26" s="14" t="s">
        <v>10</v>
      </c>
      <c r="D26" s="14" t="s">
        <v>12</v>
      </c>
      <c r="E26" s="14" t="s">
        <v>124</v>
      </c>
      <c r="F26" s="48">
        <v>1</v>
      </c>
      <c r="G26" s="44"/>
      <c r="H26" s="49"/>
      <c r="I26" s="81"/>
    </row>
    <row r="27" spans="1:13" x14ac:dyDescent="0.25">
      <c r="A27" s="14"/>
      <c r="B27" s="14"/>
      <c r="C27" s="14"/>
      <c r="D27" s="14"/>
      <c r="E27" s="16"/>
      <c r="F27" s="22"/>
      <c r="G27" s="14"/>
    </row>
    <row r="28" spans="1:13" x14ac:dyDescent="0.25">
      <c r="A28" s="28" t="s">
        <v>131</v>
      </c>
      <c r="B28" s="28"/>
      <c r="C28" s="29"/>
      <c r="D28" s="29"/>
      <c r="E28" s="29"/>
      <c r="F28" s="29"/>
      <c r="G28" s="29"/>
      <c r="H28" s="27" t="s">
        <v>76</v>
      </c>
      <c r="I28" s="14"/>
    </row>
    <row r="29" spans="1:13" ht="45" x14ac:dyDescent="0.25">
      <c r="A29" s="11" t="s">
        <v>30</v>
      </c>
      <c r="B29" s="11"/>
      <c r="C29" s="11" t="s">
        <v>2</v>
      </c>
      <c r="D29" s="11" t="s">
        <v>3</v>
      </c>
      <c r="E29" s="11" t="s">
        <v>27</v>
      </c>
      <c r="F29" s="11" t="s">
        <v>111</v>
      </c>
      <c r="G29" s="11" t="s">
        <v>113</v>
      </c>
      <c r="H29" s="17" t="s">
        <v>29</v>
      </c>
      <c r="I29" s="14"/>
    </row>
    <row r="30" spans="1:13" x14ac:dyDescent="0.25">
      <c r="A30" s="14" t="s">
        <v>100</v>
      </c>
      <c r="B30" s="14" t="s">
        <v>133</v>
      </c>
      <c r="C30" s="14" t="s">
        <v>10</v>
      </c>
      <c r="D30" s="14" t="s">
        <v>11</v>
      </c>
      <c r="E30" s="50">
        <f>I8/SUM(I8:I9)</f>
        <v>0.1723302609880987</v>
      </c>
      <c r="F30" s="80">
        <f>I8</f>
        <v>127269.06</v>
      </c>
      <c r="G30" s="76">
        <f>J8</f>
        <v>0</v>
      </c>
      <c r="H30" s="49">
        <f>SUM(F30,F32)/SUM(F30:F33)</f>
        <v>0.17125142531080403</v>
      </c>
      <c r="I30" s="14"/>
    </row>
    <row r="31" spans="1:13" x14ac:dyDescent="0.25">
      <c r="A31" s="14"/>
      <c r="B31" s="14"/>
      <c r="C31" s="14" t="s">
        <v>10</v>
      </c>
      <c r="D31" s="14" t="s">
        <v>12</v>
      </c>
      <c r="E31" s="50">
        <f>I9/SUM(I8:I9)</f>
        <v>0.82766973901190133</v>
      </c>
      <c r="F31" s="80">
        <f>I9</f>
        <v>611249.28999999992</v>
      </c>
      <c r="G31" s="76">
        <f>J10</f>
        <v>0</v>
      </c>
      <c r="H31" s="49">
        <f>SUM(F31,F33)/SUM(F30:F33)</f>
        <v>0.82874857468919605</v>
      </c>
      <c r="I31" s="50"/>
    </row>
    <row r="32" spans="1:13" x14ac:dyDescent="0.25">
      <c r="A32" s="14" t="s">
        <v>101</v>
      </c>
      <c r="B32" s="14" t="s">
        <v>133</v>
      </c>
      <c r="C32" s="14" t="s">
        <v>10</v>
      </c>
      <c r="D32" s="14" t="s">
        <v>11</v>
      </c>
      <c r="E32" s="50">
        <f>I12/SUM(I12:I13)</f>
        <v>0.14829574037376103</v>
      </c>
      <c r="F32" s="80">
        <f>I12</f>
        <v>5147.01</v>
      </c>
      <c r="G32" s="80">
        <f>J12</f>
        <v>0</v>
      </c>
      <c r="H32" s="22"/>
      <c r="I32" s="14"/>
    </row>
    <row r="33" spans="1:11" x14ac:dyDescent="0.25">
      <c r="A33" s="14"/>
      <c r="B33" s="14"/>
      <c r="C33" s="14" t="s">
        <v>10</v>
      </c>
      <c r="D33" s="14" t="s">
        <v>12</v>
      </c>
      <c r="E33" s="50">
        <f>I13/SUM(I12:I13)</f>
        <v>0.85170425962623908</v>
      </c>
      <c r="F33" s="80">
        <f>I13</f>
        <v>29560.73</v>
      </c>
      <c r="G33" s="80">
        <f>J14</f>
        <v>0</v>
      </c>
      <c r="H33" s="22"/>
      <c r="I33" s="14"/>
    </row>
    <row r="34" spans="1:11" x14ac:dyDescent="0.25">
      <c r="A34" s="14"/>
      <c r="B34" s="14"/>
      <c r="C34" s="14"/>
      <c r="E34" s="7"/>
      <c r="F34" s="22"/>
      <c r="G34" s="14"/>
      <c r="I34" s="14"/>
    </row>
    <row r="35" spans="1:11" x14ac:dyDescent="0.25">
      <c r="A35" s="14"/>
      <c r="B35" s="14"/>
      <c r="C35" s="14"/>
      <c r="E35" s="7"/>
      <c r="F35" s="22"/>
      <c r="G35" s="14"/>
      <c r="I35" s="14"/>
    </row>
    <row r="36" spans="1:11" x14ac:dyDescent="0.25">
      <c r="A36" s="28" t="s">
        <v>37</v>
      </c>
      <c r="B36" s="28"/>
      <c r="C36" s="29"/>
      <c r="D36" s="29"/>
      <c r="E36" s="27" t="s">
        <v>80</v>
      </c>
      <c r="F36" s="27" t="s">
        <v>81</v>
      </c>
      <c r="G36" s="27" t="s">
        <v>82</v>
      </c>
      <c r="H36" s="27" t="s">
        <v>83</v>
      </c>
      <c r="I36" s="27" t="s">
        <v>87</v>
      </c>
      <c r="J36" s="27" t="s">
        <v>88</v>
      </c>
      <c r="K36" s="64"/>
    </row>
    <row r="37" spans="1:11" ht="60" customHeight="1" x14ac:dyDescent="0.25">
      <c r="A37" s="11" t="s">
        <v>30</v>
      </c>
      <c r="B37" s="11"/>
      <c r="C37" s="11" t="s">
        <v>2</v>
      </c>
      <c r="D37" s="11" t="s">
        <v>3</v>
      </c>
      <c r="E37" s="17" t="s">
        <v>117</v>
      </c>
      <c r="F37" s="52" t="s">
        <v>116</v>
      </c>
      <c r="G37" s="52" t="s">
        <v>68</v>
      </c>
      <c r="H37" s="52" t="s">
        <v>118</v>
      </c>
      <c r="I37" s="52" t="s">
        <v>70</v>
      </c>
      <c r="J37" s="52" t="s">
        <v>119</v>
      </c>
      <c r="K37" s="66" t="s">
        <v>132</v>
      </c>
    </row>
    <row r="38" spans="1:11" ht="42" customHeight="1" x14ac:dyDescent="0.25">
      <c r="A38" s="11"/>
      <c r="B38" s="11"/>
      <c r="C38" s="11"/>
      <c r="D38" s="56"/>
      <c r="E38" s="9" t="s">
        <v>77</v>
      </c>
      <c r="F38" s="43" t="s">
        <v>85</v>
      </c>
      <c r="G38" s="43" t="s">
        <v>84</v>
      </c>
      <c r="H38" s="43" t="s">
        <v>86</v>
      </c>
      <c r="I38" s="43" t="s">
        <v>92</v>
      </c>
      <c r="J38" s="43" t="s">
        <v>89</v>
      </c>
      <c r="K38" s="67" t="s">
        <v>91</v>
      </c>
    </row>
    <row r="39" spans="1:11" x14ac:dyDescent="0.25">
      <c r="A39" s="14" t="s">
        <v>8</v>
      </c>
      <c r="B39" s="14" t="s">
        <v>133</v>
      </c>
      <c r="C39" s="14" t="s">
        <v>10</v>
      </c>
      <c r="D39" s="14" t="s">
        <v>11</v>
      </c>
      <c r="E39" s="55">
        <f>SUMPRODUCT(H8,H19)/I19</f>
        <v>1.4190810358778483</v>
      </c>
      <c r="F39" s="44">
        <f>SUMPRODUCT(E39:E40,$H$30:$H$31)</f>
        <v>1.1015762567575436</v>
      </c>
      <c r="G39" s="44">
        <f>(G30/F30)*E39</f>
        <v>0</v>
      </c>
      <c r="H39" s="44">
        <f>SUMPRODUCT(G39:G40,$H$30:$H$31)</f>
        <v>0</v>
      </c>
      <c r="I39" s="44">
        <f>F39+H39</f>
        <v>1.1015762567575436</v>
      </c>
      <c r="J39" s="44">
        <f>AVERAGE(I39:I41)</f>
        <v>1.0611475427464481</v>
      </c>
      <c r="K39" s="68">
        <f>I39/J39</f>
        <v>1.0380990506809811</v>
      </c>
    </row>
    <row r="40" spans="1:11" x14ac:dyDescent="0.25">
      <c r="A40" s="14"/>
      <c r="B40" s="14"/>
      <c r="C40" s="14" t="s">
        <v>10</v>
      </c>
      <c r="D40" s="14" t="s">
        <v>12</v>
      </c>
      <c r="E40" s="55">
        <f>SUMPRODUCT(H9,H20)/I20</f>
        <v>1.0359675213365074</v>
      </c>
      <c r="F40" s="44"/>
      <c r="G40" s="44">
        <f t="shared" ref="G40:G42" si="0">(G31/F31)*E40</f>
        <v>0</v>
      </c>
      <c r="H40" s="44"/>
      <c r="I40" s="42"/>
      <c r="K40" s="68"/>
    </row>
    <row r="41" spans="1:11" x14ac:dyDescent="0.25">
      <c r="A41" s="14" t="s">
        <v>13</v>
      </c>
      <c r="B41" s="14" t="s">
        <v>133</v>
      </c>
      <c r="C41" s="14" t="s">
        <v>10</v>
      </c>
      <c r="D41" s="14" t="s">
        <v>11</v>
      </c>
      <c r="E41" s="55">
        <f>SUMPRODUCT(H12,H23)/I23</f>
        <v>1.2393703334557344</v>
      </c>
      <c r="F41" s="44">
        <f>SUMPRODUCT(E41:E42,$H$30:$H$31)</f>
        <v>1.0207188287353526</v>
      </c>
      <c r="G41" s="44">
        <f t="shared" si="0"/>
        <v>0</v>
      </c>
      <c r="H41" s="44">
        <f>SUMPRODUCT(G41:G42,$H$30:$H$31)</f>
        <v>0</v>
      </c>
      <c r="I41" s="44">
        <f>F41+H41</f>
        <v>1.0207188287353526</v>
      </c>
      <c r="K41" s="68">
        <f>I41/J39</f>
        <v>0.96190094931901893</v>
      </c>
    </row>
    <row r="42" spans="1:11" x14ac:dyDescent="0.25">
      <c r="A42" s="14"/>
      <c r="B42" s="14"/>
      <c r="C42" s="14" t="s">
        <v>10</v>
      </c>
      <c r="D42" s="14" t="s">
        <v>12</v>
      </c>
      <c r="E42" s="55">
        <f>SUMPRODUCT(H13,H24)/I24</f>
        <v>0.97553699316627152</v>
      </c>
      <c r="F42" s="44"/>
      <c r="G42" s="44">
        <f t="shared" si="0"/>
        <v>0</v>
      </c>
      <c r="H42" s="44"/>
      <c r="I42" s="42"/>
      <c r="K42" s="6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HOS inpatient</vt:lpstr>
      <vt:lpstr>Multiplier Calculation</vt:lpstr>
      <vt:lpstr>HOS outpatient</vt:lpstr>
      <vt:lpstr>Physician Group</vt:lpstr>
      <vt:lpstr>Other Provider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Boukus</dc:creator>
  <cp:lastModifiedBy>E. Boukus</cp:lastModifiedBy>
  <dcterms:created xsi:type="dcterms:W3CDTF">2015-03-09T19:57:51Z</dcterms:created>
  <dcterms:modified xsi:type="dcterms:W3CDTF">2015-06-12T16:21:37Z</dcterms:modified>
</cp:coreProperties>
</file>